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ocumentatie\FES rekenschema\"/>
    </mc:Choice>
  </mc:AlternateContent>
  <xr:revisionPtr revIDLastSave="0" documentId="13_ncr:1_{5CAB1031-A425-4FB9-B065-CC68CDFEDE04}" xr6:coauthVersionLast="47" xr6:coauthVersionMax="47" xr10:uidLastSave="{00000000-0000-0000-0000-000000000000}"/>
  <bookViews>
    <workbookView xWindow="28680" yWindow="-210" windowWidth="29040" windowHeight="15840" xr2:uid="{ABCD4981-C01B-4B1F-9495-BB9C21AF22DD}"/>
  </bookViews>
  <sheets>
    <sheet name="Forest FES-rekenschema" sheetId="1" r:id="rId1"/>
    <sheet name="Blad2" sheetId="8" r:id="rId2"/>
  </sheets>
  <definedNames>
    <definedName name="_r1">'Forest FES-rekenschema'!$J$103:$AA$103</definedName>
    <definedName name="_r10">'Forest FES-rekenschema'!$J$112:$AA$112</definedName>
    <definedName name="_r11">'Forest FES-rekenschema'!$J$113:$AA$113</definedName>
    <definedName name="_r12">'Forest FES-rekenschema'!$J$114:$AA$114</definedName>
    <definedName name="_r12.1">'Forest FES-rekenschema'!$J$115:$AA$115</definedName>
    <definedName name="_r13">'Forest FES-rekenschema'!$J$116:$AA$116</definedName>
    <definedName name="_r14">'Forest FES-rekenschema'!$J$117:$AA$117</definedName>
    <definedName name="_r2">'Forest FES-rekenschema'!$J$104:$AA$104</definedName>
    <definedName name="_r3">'Forest FES-rekenschema'!$J$105:$AA$105</definedName>
    <definedName name="_r4">'Forest FES-rekenschema'!$J$106:$AA$106</definedName>
    <definedName name="_r5">'Forest FES-rekenschema'!$J$107:$AA$107</definedName>
    <definedName name="_r6">'Forest FES-rekenschema'!$J$108:$AA$108</definedName>
    <definedName name="_r7">'Forest FES-rekenschema'!$J$109:$AA$109</definedName>
    <definedName name="_r8">'Forest FES-rekenschema'!$J$110:$AA$110</definedName>
    <definedName name="_r9">'Forest FES-rekenschema'!$J$111:$AA$111</definedName>
    <definedName name="_xlnm.Print_Area" localSheetId="0">'Forest FES-rekenschema'!$A$1:$AH$43</definedName>
    <definedName name="Foto_band">IF('Forest FES-rekenschema'!$E$80=0,IF('Forest FES-rekenschema'!$E$83=0,IF('Forest FES-rekenschema'!$E$13='Forest FES-rekenschema'!$A$98,'Forest FES-rekenschema'!$CM$502,'Forest FES-rekenschema'!$CM$501),'Forest FES-rekenschema'!$CM7416),'Forest FES-rekenschema'!$CM$503)</definedName>
    <definedName name="rail_naam">'Forest FES-rekenschema'!$CO$504:$CO$518</definedName>
    <definedName name="Zoek_Rail">OFFSET('Forest FES-rekenschema'!$CN$503,MATCH('Forest FES-rekenschema'!$CQ$503:$CS$503,rail_naam,0),0,1,1)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2" i="1" l="1"/>
  <c r="AU72" i="1"/>
  <c r="AW69" i="1"/>
  <c r="AQ69" i="1"/>
  <c r="AW65" i="1"/>
  <c r="C83" i="1"/>
  <c r="D83" i="1"/>
  <c r="A24" i="1"/>
  <c r="B83" i="1"/>
  <c r="E83" i="1"/>
  <c r="AO69" i="1"/>
  <c r="A83" i="1" s="1"/>
  <c r="AQ65" i="1"/>
  <c r="B88" i="1"/>
  <c r="J23" i="1" l="1"/>
  <c r="J47" i="1"/>
  <c r="I47" i="1" s="1"/>
  <c r="G47" i="1" s="1"/>
  <c r="J46" i="1"/>
  <c r="B87" i="1"/>
  <c r="B86" i="1"/>
  <c r="Q89" i="1" l="1"/>
  <c r="O90" i="1"/>
  <c r="M82" i="1"/>
  <c r="AI69" i="1"/>
  <c r="D81" i="1"/>
  <c r="C81" i="1" s="1"/>
  <c r="M93" i="1"/>
  <c r="M72" i="1"/>
  <c r="A82" i="1"/>
  <c r="B82" i="1"/>
  <c r="A81" i="1"/>
  <c r="Q83" i="1"/>
  <c r="Q84" i="1"/>
  <c r="Q85" i="1"/>
  <c r="Q86" i="1"/>
  <c r="Q87" i="1"/>
  <c r="Q88" i="1"/>
  <c r="Q90" i="1"/>
  <c r="Q91" i="1"/>
  <c r="Q92" i="1"/>
  <c r="Q93" i="1"/>
  <c r="Q94" i="1"/>
  <c r="Q95" i="1"/>
  <c r="Q96" i="1"/>
  <c r="Q97" i="1"/>
  <c r="Q82" i="1"/>
  <c r="O83" i="1"/>
  <c r="O84" i="1"/>
  <c r="O85" i="1"/>
  <c r="O86" i="1"/>
  <c r="O87" i="1"/>
  <c r="O88" i="1"/>
  <c r="O89" i="1"/>
  <c r="O91" i="1"/>
  <c r="O92" i="1"/>
  <c r="O93" i="1"/>
  <c r="O94" i="1"/>
  <c r="O95" i="1"/>
  <c r="O96" i="1"/>
  <c r="O97" i="1"/>
  <c r="O82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M97" i="1"/>
  <c r="M83" i="1"/>
  <c r="M84" i="1"/>
  <c r="M85" i="1"/>
  <c r="M86" i="1"/>
  <c r="M87" i="1"/>
  <c r="M88" i="1"/>
  <c r="M89" i="1"/>
  <c r="M90" i="1"/>
  <c r="M91" i="1"/>
  <c r="M92" i="1"/>
  <c r="M94" i="1"/>
  <c r="M95" i="1"/>
  <c r="M96" i="1"/>
  <c r="I46" i="1"/>
  <c r="G46" i="1" s="1"/>
  <c r="AW51" i="1" l="1"/>
  <c r="AU51" i="1"/>
  <c r="K51" i="1"/>
  <c r="AY51" i="1"/>
  <c r="M98" i="1"/>
  <c r="P98" i="1"/>
  <c r="AQ51" i="1"/>
  <c r="AS51" i="1"/>
  <c r="Q51" i="1"/>
  <c r="W51" i="1"/>
  <c r="AK65" i="1"/>
  <c r="AE65" i="1"/>
  <c r="Y65" i="1"/>
  <c r="S65" i="1"/>
  <c r="M65" i="1"/>
  <c r="M51" i="1" s="1"/>
  <c r="O51" i="1" l="1"/>
  <c r="K72" i="1"/>
  <c r="W72" i="1"/>
  <c r="Y72" i="1"/>
  <c r="AC72" i="1"/>
  <c r="AE72" i="1"/>
  <c r="AI72" i="1"/>
  <c r="AK72" i="1"/>
  <c r="AC69" i="1" l="1"/>
  <c r="W69" i="1"/>
  <c r="K69" i="1"/>
  <c r="M68" i="1"/>
  <c r="M69" i="1" s="1"/>
  <c r="F84" i="1"/>
  <c r="C52" i="1"/>
  <c r="B81" i="1"/>
  <c r="Q68" i="1" l="1"/>
  <c r="Q69" i="1" s="1"/>
  <c r="S68" i="1" l="1"/>
  <c r="W68" i="1" s="1"/>
  <c r="Y68" i="1" s="1"/>
  <c r="AD18" i="1"/>
  <c r="AD17" i="1"/>
  <c r="AC68" i="1" l="1"/>
  <c r="AE68" i="1" s="1"/>
  <c r="AI68" i="1" s="1"/>
  <c r="Y69" i="1"/>
  <c r="S69" i="1"/>
  <c r="AE69" i="1"/>
  <c r="AK68" i="1" l="1"/>
  <c r="AK69" i="1" l="1"/>
  <c r="AO68" i="1"/>
  <c r="AQ68" i="1" s="1"/>
  <c r="AU68" i="1" s="1"/>
  <c r="AW68" i="1" l="1"/>
  <c r="AU69" i="1"/>
  <c r="J68" i="1"/>
  <c r="AO76" i="1" l="1"/>
  <c r="AW76" i="1"/>
  <c r="W76" i="1"/>
  <c r="AA51" i="1"/>
  <c r="AK51" i="1"/>
  <c r="AM51" i="1"/>
  <c r="S51" i="1"/>
  <c r="AI51" i="1"/>
  <c r="U51" i="1"/>
  <c r="AC51" i="1"/>
  <c r="Y51" i="1"/>
  <c r="AE51" i="1"/>
  <c r="AG51" i="1"/>
  <c r="S76" i="1" l="1"/>
  <c r="AE76" i="1" l="1"/>
  <c r="AK76" i="1"/>
  <c r="AC76" i="1"/>
  <c r="B85" i="1"/>
  <c r="AW52" i="1" l="1"/>
  <c r="AW53" i="1" s="1"/>
  <c r="AW54" i="1" s="1"/>
  <c r="AW55" i="1" s="1"/>
  <c r="AW56" i="1" s="1"/>
  <c r="AY52" i="1"/>
  <c r="AY53" i="1" s="1"/>
  <c r="AY54" i="1" s="1"/>
  <c r="AY55" i="1" s="1"/>
  <c r="AY56" i="1" s="1"/>
  <c r="K52" i="1"/>
  <c r="K53" i="1" s="1"/>
  <c r="K54" i="1" s="1"/>
  <c r="K55" i="1" s="1"/>
  <c r="AU52" i="1"/>
  <c r="AU53" i="1" s="1"/>
  <c r="AU54" i="1" s="1"/>
  <c r="AU55" i="1" s="1"/>
  <c r="AU56" i="1" s="1"/>
  <c r="AU75" i="1" s="1"/>
  <c r="AU76" i="1" s="1"/>
  <c r="AS52" i="1"/>
  <c r="AS53" i="1" s="1"/>
  <c r="AQ52" i="1"/>
  <c r="AQ53" i="1" s="1"/>
  <c r="AO56" i="1"/>
  <c r="AO75" i="1" s="1"/>
  <c r="AA52" i="1"/>
  <c r="AA53" i="1" s="1"/>
  <c r="AA54" i="1" s="1"/>
  <c r="AA55" i="1" s="1"/>
  <c r="AA56" i="1" s="1"/>
  <c r="W52" i="1"/>
  <c r="W53" i="1" s="1"/>
  <c r="W54" i="1" s="1"/>
  <c r="W55" i="1" s="1"/>
  <c r="W56" i="1" s="1"/>
  <c r="W75" i="1" s="1"/>
  <c r="AI52" i="1"/>
  <c r="AI53" i="1" s="1"/>
  <c r="AI54" i="1" s="1"/>
  <c r="AI55" i="1" s="1"/>
  <c r="AI56" i="1" s="1"/>
  <c r="AI75" i="1" s="1"/>
  <c r="AI76" i="1" s="1"/>
  <c r="O52" i="1"/>
  <c r="O53" i="1" s="1"/>
  <c r="O54" i="1" s="1"/>
  <c r="O55" i="1" s="1"/>
  <c r="O56" i="1" s="1"/>
  <c r="AE52" i="1"/>
  <c r="AE53" i="1" s="1"/>
  <c r="AE54" i="1" s="1"/>
  <c r="AE55" i="1" s="1"/>
  <c r="AE56" i="1" s="1"/>
  <c r="Y52" i="1"/>
  <c r="Y53" i="1" s="1"/>
  <c r="Y54" i="1" s="1"/>
  <c r="Y55" i="1" s="1"/>
  <c r="Y56" i="1" s="1"/>
  <c r="S52" i="1"/>
  <c r="S53" i="1" s="1"/>
  <c r="S54" i="1" s="1"/>
  <c r="S55" i="1" s="1"/>
  <c r="S56" i="1" s="1"/>
  <c r="M52" i="1"/>
  <c r="M53" i="1" s="1"/>
  <c r="M54" i="1" s="1"/>
  <c r="M55" i="1" s="1"/>
  <c r="M56" i="1" s="1"/>
  <c r="AK52" i="1"/>
  <c r="AK53" i="1" s="1"/>
  <c r="AK54" i="1" s="1"/>
  <c r="AK55" i="1" s="1"/>
  <c r="AK56" i="1" s="1"/>
  <c r="AM52" i="1"/>
  <c r="AM53" i="1" s="1"/>
  <c r="AM54" i="1" s="1"/>
  <c r="AM55" i="1" s="1"/>
  <c r="AM56" i="1" s="1"/>
  <c r="AG52" i="1"/>
  <c r="AG53" i="1" s="1"/>
  <c r="AG54" i="1" s="1"/>
  <c r="AG55" i="1" s="1"/>
  <c r="AG56" i="1" s="1"/>
  <c r="U52" i="1"/>
  <c r="U53" i="1" s="1"/>
  <c r="U54" i="1" s="1"/>
  <c r="U55" i="1" s="1"/>
  <c r="U56" i="1" s="1"/>
  <c r="AC52" i="1"/>
  <c r="AC53" i="1" s="1"/>
  <c r="AC54" i="1" s="1"/>
  <c r="AC55" i="1" s="1"/>
  <c r="AC56" i="1" s="1"/>
  <c r="AC75" i="1" s="1"/>
  <c r="Q52" i="1"/>
  <c r="AW75" i="1" l="1"/>
  <c r="AQ54" i="1"/>
  <c r="AQ55" i="1" s="1"/>
  <c r="AQ56" i="1" s="1"/>
  <c r="AS54" i="1"/>
  <c r="AS55" i="1" s="1"/>
  <c r="AS56" i="1" s="1"/>
  <c r="K56" i="1"/>
  <c r="Y75" i="1"/>
  <c r="Y76" i="1" s="1"/>
  <c r="Q53" i="1"/>
  <c r="Q54" i="1" s="1"/>
  <c r="Q55" i="1" s="1"/>
  <c r="Q56" i="1" s="1"/>
  <c r="Q75" i="1" s="1"/>
  <c r="Q76" i="1" s="1"/>
  <c r="M75" i="1"/>
  <c r="M76" i="1" s="1"/>
  <c r="AE75" i="1"/>
  <c r="AK75" i="1"/>
  <c r="S75" i="1"/>
  <c r="K75" i="1" l="1"/>
  <c r="K76" i="1" s="1"/>
  <c r="AQ75" i="1"/>
  <c r="AQ76" i="1" s="1"/>
  <c r="C82" i="1" l="1"/>
  <c r="J17" i="1" s="1"/>
  <c r="E80" i="1" l="1"/>
  <c r="I69" i="1" s="1"/>
  <c r="AG101" i="1" l="1"/>
  <c r="AI101" i="1"/>
  <c r="AB101" i="1"/>
  <c r="AE101" i="1"/>
  <c r="AH101" i="1"/>
  <c r="AC101" i="1"/>
  <c r="AD101" i="1"/>
  <c r="AF101" i="1"/>
  <c r="AE6" i="1"/>
  <c r="AU78" i="1" l="1"/>
  <c r="AW59" i="1"/>
  <c r="AU59" i="1"/>
  <c r="AY58" i="1"/>
  <c r="AW57" i="1"/>
  <c r="AU57" i="1"/>
  <c r="AY60" i="1"/>
  <c r="AI73" i="1"/>
  <c r="O58" i="1"/>
  <c r="O60" i="1"/>
  <c r="AC57" i="1"/>
  <c r="AO73" i="1"/>
  <c r="Y57" i="1"/>
  <c r="AI59" i="1"/>
  <c r="AO57" i="1"/>
  <c r="Q59" i="1"/>
  <c r="K59" i="1"/>
  <c r="S59" i="1"/>
  <c r="AS58" i="1"/>
  <c r="W78" i="1"/>
  <c r="M57" i="1"/>
  <c r="AO78" i="1"/>
  <c r="AM58" i="1"/>
  <c r="AK57" i="1"/>
  <c r="Y59" i="1"/>
  <c r="CP503" i="1"/>
  <c r="CQ503" i="1" s="1"/>
  <c r="AA60" i="1"/>
  <c r="AO59" i="1"/>
  <c r="W59" i="1"/>
  <c r="AI78" i="1"/>
  <c r="AE57" i="1"/>
  <c r="W73" i="1"/>
  <c r="AQ59" i="1"/>
  <c r="AG60" i="1"/>
  <c r="AQ57" i="1"/>
  <c r="AC78" i="1"/>
  <c r="M59" i="1"/>
  <c r="AS60" i="1"/>
  <c r="AE59" i="1"/>
  <c r="U58" i="1"/>
  <c r="AC59" i="1"/>
  <c r="Q73" i="1"/>
  <c r="AA58" i="1"/>
  <c r="K57" i="1"/>
  <c r="S57" i="1"/>
  <c r="Q57" i="1"/>
  <c r="AG58" i="1"/>
  <c r="Q78" i="1"/>
  <c r="AI57" i="1"/>
  <c r="K78" i="1"/>
  <c r="U60" i="1"/>
  <c r="AK59" i="1"/>
  <c r="AM60" i="1"/>
  <c r="W57" i="1"/>
  <c r="I57" i="1" l="1"/>
  <c r="I58" i="1"/>
  <c r="I60" i="1"/>
  <c r="U117" i="1" s="1"/>
  <c r="J77" i="1"/>
  <c r="Y4" i="1" s="1"/>
  <c r="Y8" i="1" s="1"/>
  <c r="I59" i="1"/>
  <c r="Y116" i="1" s="1"/>
  <c r="S73" i="1" l="1"/>
  <c r="AE73" i="1"/>
  <c r="AK73" i="1"/>
  <c r="AC73" i="1"/>
  <c r="AQ73" i="1"/>
  <c r="AU73" i="1"/>
  <c r="AS74" i="1"/>
  <c r="AG74" i="1"/>
  <c r="U74" i="1"/>
  <c r="AM74" i="1"/>
  <c r="O74" i="1"/>
  <c r="AY74" i="1"/>
  <c r="S114" i="1"/>
  <c r="P117" i="1"/>
  <c r="AA116" i="1"/>
  <c r="AB8" i="1"/>
  <c r="AE8" i="1" s="1"/>
  <c r="AG8" i="1" s="1"/>
  <c r="AA74" i="1"/>
  <c r="AW73" i="1"/>
  <c r="K73" i="1"/>
  <c r="M73" i="1"/>
  <c r="R115" i="1"/>
  <c r="M39" i="1" s="1" a="1"/>
  <c r="M39" i="1" s="1"/>
  <c r="Y73" i="1"/>
  <c r="I73" i="1" s="1"/>
  <c r="AB11" i="1" s="1"/>
  <c r="AD11" i="1" s="1"/>
  <c r="AB7" i="1"/>
  <c r="AE7" i="1" s="1"/>
  <c r="AG7" i="1" s="1"/>
  <c r="D53" i="1"/>
  <c r="AB15" i="1" s="1"/>
  <c r="V24" i="1" s="1"/>
  <c r="U24" i="1" s="1"/>
  <c r="AA103" i="1"/>
  <c r="R106" i="1"/>
  <c r="Y3" i="1"/>
  <c r="Y11" i="1" s="1"/>
  <c r="D54" i="1"/>
  <c r="AB16" i="1" s="1"/>
  <c r="AE16" i="1" s="1"/>
  <c r="AE17" i="1" s="1"/>
  <c r="Q108" i="1"/>
  <c r="U104" i="1"/>
  <c r="S106" i="1"/>
  <c r="Z107" i="1"/>
  <c r="Z103" i="1"/>
  <c r="Z111" i="1"/>
  <c r="Q110" i="1"/>
  <c r="AA107" i="1"/>
  <c r="T110" i="1"/>
  <c r="V109" i="1"/>
  <c r="X109" i="1"/>
  <c r="Y105" i="1"/>
  <c r="AA111" i="1"/>
  <c r="P104" i="1"/>
  <c r="T108" i="1"/>
  <c r="U112" i="1"/>
  <c r="AB4" i="1"/>
  <c r="AB3" i="1"/>
  <c r="U12" i="1" s="1"/>
  <c r="Y12" i="1"/>
  <c r="AA105" i="1"/>
  <c r="P112" i="1"/>
  <c r="AE9" i="1" l="1"/>
  <c r="AG9" i="1"/>
  <c r="M38" i="1" a="1"/>
  <c r="M38" i="1" s="1"/>
  <c r="I74" i="1"/>
  <c r="AB12" i="1"/>
  <c r="AD12" i="1" s="1"/>
  <c r="AE15" i="1"/>
  <c r="AG15" i="1" s="1"/>
  <c r="U16" i="1"/>
  <c r="U23" i="1"/>
  <c r="AD15" i="1"/>
  <c r="AE14" i="1"/>
  <c r="AD16" i="1"/>
  <c r="Y7" i="1"/>
  <c r="Y15" i="1"/>
  <c r="Y19" i="1" s="1"/>
  <c r="U15" i="1"/>
  <c r="AB19" i="1"/>
  <c r="AB25" i="1" s="1"/>
  <c r="AD25" i="1" s="1"/>
  <c r="V25" i="1"/>
  <c r="U25" i="1" s="1"/>
  <c r="U19" i="1"/>
  <c r="AB20" i="1"/>
  <c r="AD20" i="1" s="1"/>
  <c r="U3" i="1"/>
  <c r="U4" i="1"/>
  <c r="U7" i="1"/>
  <c r="U11" i="1"/>
  <c r="U13" i="1"/>
  <c r="U8" i="1"/>
  <c r="AG16" i="1"/>
  <c r="AG17" i="1"/>
  <c r="AB24" i="1" l="1"/>
  <c r="AD24" i="1" s="1"/>
  <c r="AD19" i="1"/>
  <c r="Y16" i="1"/>
  <c r="Y2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<sst xmlns="http://schemas.openxmlformats.org/spreadsheetml/2006/main" count="393" uniqueCount="149">
  <si>
    <t>aantal glijders</t>
  </si>
  <si>
    <t>Easywave</t>
  </si>
  <si>
    <t>lengte loopvlak</t>
  </si>
  <si>
    <t>FMS</t>
  </si>
  <si>
    <t>Pulldown template</t>
  </si>
  <si>
    <t>FMS enkel</t>
  </si>
  <si>
    <t>FMS dubbel</t>
  </si>
  <si>
    <t>Foto</t>
  </si>
  <si>
    <t>rail-naam</t>
  </si>
  <si>
    <t>Rail b midden</t>
  </si>
  <si>
    <t>FMS M</t>
  </si>
  <si>
    <t>R</t>
  </si>
  <si>
    <t>L</t>
  </si>
  <si>
    <t>MRS</t>
  </si>
  <si>
    <t>DSXLME</t>
  </si>
  <si>
    <t>DSXLMM</t>
  </si>
  <si>
    <t>KS E</t>
  </si>
  <si>
    <t>KS M</t>
  </si>
  <si>
    <t>MRS E</t>
  </si>
  <si>
    <t>MRS M</t>
  </si>
  <si>
    <t>CCS E</t>
  </si>
  <si>
    <t>CCS M</t>
  </si>
  <si>
    <t>…</t>
  </si>
  <si>
    <t>KS enkel</t>
  </si>
  <si>
    <t>KS midden</t>
  </si>
  <si>
    <t xml:space="preserve"> </t>
  </si>
  <si>
    <t xml:space="preserve">  </t>
  </si>
  <si>
    <t>DSXL motor enkel</t>
  </si>
  <si>
    <t>MRS enkel</t>
  </si>
  <si>
    <t>CCS enkel</t>
  </si>
  <si>
    <t>MRS midden</t>
  </si>
  <si>
    <t>CCS midden</t>
  </si>
  <si>
    <t>afronden</t>
  </si>
  <si>
    <t>FMS E</t>
  </si>
  <si>
    <t xml:space="preserve">5,4cm/ 6cm/ 8cm = </t>
  </si>
  <si>
    <t>op rol =</t>
  </si>
  <si>
    <t xml:space="preserve">Easywave      = </t>
  </si>
  <si>
    <t>Easyflex</t>
  </si>
  <si>
    <t>Pakket gelijk?</t>
  </si>
  <si>
    <t>FES-wave</t>
  </si>
  <si>
    <t>tot. tape=</t>
  </si>
  <si>
    <t>5,4 cm (100%)</t>
  </si>
  <si>
    <t>6 cm (80%)</t>
  </si>
  <si>
    <t>8 cm (60%)</t>
  </si>
  <si>
    <t>a</t>
  </si>
  <si>
    <t>b</t>
  </si>
  <si>
    <t>c</t>
  </si>
  <si>
    <t>d</t>
  </si>
  <si>
    <t>e</t>
  </si>
  <si>
    <t>f</t>
  </si>
  <si>
    <t xml:space="preserve">Rail type      = </t>
  </si>
  <si>
    <t xml:space="preserve">Track size in cm = </t>
  </si>
  <si>
    <t>One-way draw &lt;&gt;</t>
  </si>
  <si>
    <t xml:space="preserve">Center closing   = </t>
  </si>
  <si>
    <t>One-way draw</t>
  </si>
  <si>
    <t>Center closing</t>
  </si>
  <si>
    <t>default</t>
  </si>
  <si>
    <t>Yes</t>
  </si>
  <si>
    <t>CCS</t>
  </si>
  <si>
    <t xml:space="preserve">   Easyflex &lt;&gt;</t>
  </si>
  <si>
    <t>Test incorrecte velden=</t>
  </si>
  <si>
    <t>start rekenen van koord</t>
  </si>
  <si>
    <t>Totaal glijders</t>
  </si>
  <si>
    <t>Eindkap L / retourpoelie</t>
  </si>
  <si>
    <t>Eindkap R / motorpoelie</t>
  </si>
  <si>
    <t>maten in cm</t>
  </si>
  <si>
    <t>offset</t>
  </si>
  <si>
    <t>-</t>
  </si>
  <si>
    <t>wave=</t>
  </si>
  <si>
    <t>flex=</t>
  </si>
  <si>
    <t>Extra glijders in poelie/voorloper</t>
  </si>
  <si>
    <t>Totaal haken</t>
  </si>
  <si>
    <t>Extra haken voor gordijn</t>
  </si>
  <si>
    <t>Rail nummer</t>
  </si>
  <si>
    <t>Select =</t>
  </si>
  <si>
    <t>glijders R</t>
  </si>
  <si>
    <t>haken L / enkel</t>
  </si>
  <si>
    <t>haken R</t>
  </si>
  <si>
    <t>glijders L / enkel</t>
  </si>
  <si>
    <t>dikte motorpoelie</t>
  </si>
  <si>
    <t>lengte voorloper</t>
  </si>
  <si>
    <t>Dikte pakket L</t>
  </si>
  <si>
    <t>M</t>
  </si>
  <si>
    <t>lengte plastic</t>
  </si>
  <si>
    <t>voorloper</t>
  </si>
  <si>
    <t>lengte metalen</t>
  </si>
  <si>
    <t>flex band</t>
  </si>
  <si>
    <t>lengte</t>
  </si>
  <si>
    <t>minimale maat</t>
  </si>
  <si>
    <t>dikte retourpoelie</t>
  </si>
  <si>
    <t>g</t>
  </si>
  <si>
    <t>h</t>
  </si>
  <si>
    <t>Distance between</t>
  </si>
  <si>
    <t xml:space="preserve"> hooks in cm*    = </t>
  </si>
  <si>
    <t>- Center closing only for calculating a symmetrical curtain.</t>
  </si>
  <si>
    <t>- No rights can be derived from this calculation tool.</t>
  </si>
  <si>
    <t>_1</t>
  </si>
  <si>
    <t>_2</t>
  </si>
  <si>
    <t>_3</t>
  </si>
  <si>
    <t>_4</t>
  </si>
  <si>
    <t>_5</t>
  </si>
  <si>
    <t>_6</t>
  </si>
  <si>
    <t>_7</t>
  </si>
  <si>
    <t>_8</t>
  </si>
  <si>
    <t>_9</t>
  </si>
  <si>
    <t>_10</t>
  </si>
  <si>
    <t>Lengte te kort</t>
  </si>
  <si>
    <t>gesloten</t>
  </si>
  <si>
    <t>open</t>
  </si>
  <si>
    <t>Carrier distance:</t>
  </si>
  <si>
    <t>oneven / even / even+1</t>
  </si>
  <si>
    <t>Motor side</t>
  </si>
  <si>
    <t>Return side</t>
  </si>
  <si>
    <t>Left side</t>
  </si>
  <si>
    <t>Right side</t>
  </si>
  <si>
    <t>Motor / handbediend / koord</t>
  </si>
  <si>
    <t>Control side</t>
  </si>
  <si>
    <t>Opties:</t>
  </si>
  <si>
    <t>Ja</t>
  </si>
  <si>
    <t>Nee</t>
  </si>
  <si>
    <t>KS / DS / CS / CRS</t>
  </si>
  <si>
    <t>breedte glijder</t>
  </si>
  <si>
    <t>lengte wavekoord</t>
  </si>
  <si>
    <t xml:space="preserve"> aantal in glijders</t>
  </si>
  <si>
    <t>waarschuwing</t>
  </si>
  <si>
    <t>*  In combination with 'Easyflex hook fitter 9900000017'</t>
  </si>
  <si>
    <t>- Product tolerances are calculated in the final results.</t>
  </si>
  <si>
    <t>** Includes carriers that are placed inside the pulleys and masters.</t>
  </si>
  <si>
    <t>No</t>
  </si>
  <si>
    <t>Aantal rollen?</t>
  </si>
  <si>
    <t>V1.2</t>
  </si>
  <si>
    <t>Dual E</t>
  </si>
  <si>
    <t>Dual M</t>
  </si>
  <si>
    <t>FMS Dual enkel</t>
  </si>
  <si>
    <t>FMS Dual midden</t>
  </si>
  <si>
    <t>BLANCO</t>
  </si>
  <si>
    <t>FMS Dual</t>
  </si>
  <si>
    <t>_11</t>
  </si>
  <si>
    <t>_12</t>
  </si>
  <si>
    <t>_12.1</t>
  </si>
  <si>
    <t>Distance overlap  in cm</t>
  </si>
  <si>
    <t>DSXL (Led) motorised</t>
  </si>
  <si>
    <t>MRSU E</t>
  </si>
  <si>
    <t>MRSU M</t>
  </si>
  <si>
    <t>MRS universal</t>
  </si>
  <si>
    <t>_13</t>
  </si>
  <si>
    <t>_14</t>
  </si>
  <si>
    <t>MRS universeel enkel</t>
  </si>
  <si>
    <t>MRS universeel midden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</si>
</sst>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00000000"/>
    <numFmt numFmtId="167" formatCode="0.00000"/>
    <numFmt numFmtId="168" formatCode="0.00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sz val="28"/>
      <name val="Syntax LT Std Black"/>
      <family val="2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24"/>
      <name val="Calibri"/>
      <family val="2"/>
      <scheme val="minor"/>
    </font>
    <font>
      <sz val="13"/>
      <name val="Syntax LT Std Black"/>
      <family val="2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20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0" xfId="0" quotePrefix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8" xfId="0" quotePrefix="1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6" xfId="0" quotePrefix="1" applyFont="1" applyBorder="1" applyProtection="1">
      <protection hidden="1"/>
    </xf>
    <xf numFmtId="0" fontId="1" fillId="0" borderId="21" xfId="0" quotePrefix="1" applyFont="1" applyBorder="1" applyProtection="1">
      <protection hidden="1"/>
    </xf>
    <xf numFmtId="0" fontId="1" fillId="2" borderId="33" xfId="0" applyFont="1" applyFill="1" applyBorder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1" fillId="0" borderId="21" xfId="0" applyFont="1" applyBorder="1" applyProtection="1">
      <protection hidden="1"/>
    </xf>
    <xf numFmtId="0" fontId="1" fillId="2" borderId="36" xfId="0" applyFont="1" applyFill="1" applyBorder="1" applyProtection="1">
      <protection hidden="1"/>
    </xf>
    <xf numFmtId="0" fontId="1" fillId="2" borderId="37" xfId="0" applyFont="1" applyFill="1" applyBorder="1" applyProtection="1">
      <protection hidden="1"/>
    </xf>
    <xf numFmtId="0" fontId="6" fillId="2" borderId="33" xfId="0" quotePrefix="1" applyFont="1" applyFill="1" applyBorder="1" applyAlignment="1" applyProtection="1">
      <alignment horizontal="center"/>
      <protection hidden="1"/>
    </xf>
    <xf numFmtId="9" fontId="0" fillId="0" borderId="0" xfId="0" applyNumberFormat="1" applyProtection="1">
      <protection hidden="1"/>
    </xf>
    <xf numFmtId="0" fontId="6" fillId="0" borderId="0" xfId="0" applyFont="1" applyProtection="1">
      <protection hidden="1"/>
    </xf>
    <xf numFmtId="9" fontId="8" fillId="0" borderId="16" xfId="0" applyNumberFormat="1" applyFont="1" applyBorder="1" applyProtection="1">
      <protection hidden="1"/>
    </xf>
    <xf numFmtId="9" fontId="8" fillId="0" borderId="21" xfId="0" applyNumberFormat="1" applyFont="1" applyBorder="1" applyProtection="1">
      <protection hidden="1"/>
    </xf>
    <xf numFmtId="0" fontId="6" fillId="0" borderId="14" xfId="0" applyFont="1" applyBorder="1" applyAlignment="1" applyProtection="1">
      <alignment horizontal="center"/>
      <protection hidden="1"/>
    </xf>
    <xf numFmtId="0" fontId="1" fillId="0" borderId="30" xfId="0" applyFont="1" applyBorder="1" applyProtection="1">
      <protection hidden="1"/>
    </xf>
    <xf numFmtId="164" fontId="1" fillId="0" borderId="19" xfId="0" applyNumberFormat="1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0" fillId="0" borderId="23" xfId="0" applyBorder="1" applyProtection="1">
      <protection hidden="1"/>
    </xf>
    <xf numFmtId="0" fontId="0" fillId="0" borderId="0" xfId="0" quotePrefix="1" applyProtection="1">
      <protection hidden="1"/>
    </xf>
    <xf numFmtId="0" fontId="1" fillId="4" borderId="33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9" xfId="0" applyFont="1" applyBorder="1" applyProtection="1">
      <protection hidden="1"/>
    </xf>
    <xf numFmtId="167" fontId="1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0" fontId="0" fillId="0" borderId="16" xfId="0" applyBorder="1" applyProtection="1">
      <protection hidden="1"/>
    </xf>
    <xf numFmtId="0" fontId="0" fillId="0" borderId="21" xfId="0" applyBorder="1" applyProtection="1">
      <protection hidden="1"/>
    </xf>
    <xf numFmtId="0" fontId="1" fillId="0" borderId="40" xfId="0" applyFont="1" applyBorder="1" applyProtection="1">
      <protection hidden="1"/>
    </xf>
    <xf numFmtId="0" fontId="1" fillId="0" borderId="39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0" fillId="0" borderId="41" xfId="0" applyBorder="1" applyProtection="1"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1" fillId="2" borderId="33" xfId="0" quotePrefix="1" applyFont="1" applyFill="1" applyBorder="1" applyAlignment="1" applyProtection="1">
      <alignment horizontal="center"/>
      <protection hidden="1"/>
    </xf>
    <xf numFmtId="0" fontId="7" fillId="0" borderId="1" xfId="0" quotePrefix="1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0" fillId="0" borderId="14" xfId="0" applyBorder="1" applyProtection="1">
      <protection hidden="1"/>
    </xf>
    <xf numFmtId="0" fontId="0" fillId="0" borderId="36" xfId="0" applyBorder="1" applyAlignment="1" applyProtection="1">
      <alignment horizontal="right"/>
      <protection hidden="1"/>
    </xf>
    <xf numFmtId="0" fontId="0" fillId="0" borderId="38" xfId="0" applyBorder="1" applyAlignment="1" applyProtection="1">
      <alignment horizontal="right"/>
      <protection hidden="1"/>
    </xf>
    <xf numFmtId="0" fontId="0" fillId="0" borderId="37" xfId="0" applyBorder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165" fontId="1" fillId="0" borderId="0" xfId="0" applyNumberFormat="1" applyFont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3" borderId="19" xfId="0" applyFont="1" applyFill="1" applyBorder="1" applyProtection="1">
      <protection hidden="1"/>
    </xf>
    <xf numFmtId="0" fontId="1" fillId="3" borderId="20" xfId="0" applyFont="1" applyFill="1" applyBorder="1" applyProtection="1">
      <protection hidden="1"/>
    </xf>
    <xf numFmtId="0" fontId="1" fillId="3" borderId="20" xfId="0" applyFont="1" applyFill="1" applyBorder="1" applyAlignment="1" applyProtection="1">
      <alignment horizontal="right"/>
      <protection hidden="1"/>
    </xf>
    <xf numFmtId="0" fontId="1" fillId="3" borderId="17" xfId="0" applyFont="1" applyFill="1" applyBorder="1" applyProtection="1">
      <protection hidden="1"/>
    </xf>
    <xf numFmtId="0" fontId="1" fillId="3" borderId="14" xfId="0" applyFont="1" applyFill="1" applyBorder="1" applyProtection="1">
      <protection hidden="1"/>
    </xf>
    <xf numFmtId="0" fontId="1" fillId="3" borderId="0" xfId="0" applyFont="1" applyFill="1" applyAlignment="1" applyProtection="1">
      <alignment vertical="center"/>
      <protection hidden="1"/>
    </xf>
    <xf numFmtId="165" fontId="1" fillId="3" borderId="0" xfId="0" applyNumberFormat="1" applyFont="1" applyFill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16" xfId="0" applyFont="1" applyFill="1" applyBorder="1" applyProtection="1">
      <protection hidden="1"/>
    </xf>
    <xf numFmtId="0" fontId="1" fillId="3" borderId="8" xfId="0" applyFont="1" applyFill="1" applyBorder="1" applyProtection="1"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4" fillId="3" borderId="0" xfId="0" applyFont="1" applyFill="1" applyProtection="1"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14" xfId="0" applyFont="1" applyFill="1" applyBorder="1" applyAlignment="1" applyProtection="1">
      <alignment horizontal="left"/>
      <protection hidden="1"/>
    </xf>
    <xf numFmtId="1" fontId="1" fillId="3" borderId="0" xfId="0" applyNumberFormat="1" applyFont="1" applyFill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0" fontId="1" fillId="3" borderId="0" xfId="0" applyFont="1" applyFill="1" applyAlignment="1" applyProtection="1">
      <alignment wrapText="1"/>
      <protection hidden="1"/>
    </xf>
    <xf numFmtId="0" fontId="13" fillId="3" borderId="0" xfId="0" applyFont="1" applyFill="1" applyAlignment="1" applyProtection="1">
      <alignment vertical="center"/>
      <protection hidden="1"/>
    </xf>
    <xf numFmtId="166" fontId="1" fillId="3" borderId="0" xfId="0" applyNumberFormat="1" applyFont="1" applyFill="1" applyProtection="1">
      <protection hidden="1"/>
    </xf>
    <xf numFmtId="1" fontId="1" fillId="3" borderId="0" xfId="0" applyNumberFormat="1" applyFont="1" applyFill="1" applyAlignment="1" applyProtection="1">
      <alignment vertical="center"/>
      <protection hidden="1"/>
    </xf>
    <xf numFmtId="0" fontId="1" fillId="3" borderId="14" xfId="0" applyFont="1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" fillId="3" borderId="21" xfId="0" applyFont="1" applyFill="1" applyBorder="1" applyProtection="1">
      <protection hidden="1"/>
    </xf>
    <xf numFmtId="0" fontId="1" fillId="3" borderId="13" xfId="0" applyFont="1" applyFill="1" applyBorder="1" applyProtection="1">
      <protection hidden="1"/>
    </xf>
    <xf numFmtId="0" fontId="1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quotePrefix="1" applyFont="1" applyFill="1" applyProtection="1">
      <protection hidden="1"/>
    </xf>
    <xf numFmtId="164" fontId="1" fillId="3" borderId="0" xfId="0" applyNumberFormat="1" applyFont="1" applyFill="1" applyAlignment="1" applyProtection="1">
      <alignment horizontal="right"/>
      <protection hidden="1"/>
    </xf>
    <xf numFmtId="168" fontId="0" fillId="3" borderId="0" xfId="0" applyNumberFormat="1" applyFill="1" applyProtection="1">
      <protection hidden="1"/>
    </xf>
    <xf numFmtId="164" fontId="0" fillId="3" borderId="0" xfId="0" applyNumberFormat="1" applyFill="1" applyProtection="1">
      <protection hidden="1"/>
    </xf>
    <xf numFmtId="164" fontId="1" fillId="3" borderId="0" xfId="0" applyNumberFormat="1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16" xfId="0" applyFont="1" applyFill="1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9" fontId="1" fillId="3" borderId="25" xfId="0" applyNumberFormat="1" applyFont="1" applyFill="1" applyBorder="1" applyAlignment="1" applyProtection="1">
      <alignment horizontal="center" vertical="center"/>
      <protection locked="0" hidden="1"/>
    </xf>
    <xf numFmtId="9" fontId="1" fillId="3" borderId="3" xfId="0" applyNumberFormat="1" applyFont="1" applyFill="1" applyBorder="1" applyAlignment="1" applyProtection="1">
      <alignment horizontal="center" vertical="center"/>
      <protection locked="0" hidden="1"/>
    </xf>
    <xf numFmtId="9" fontId="1" fillId="3" borderId="26" xfId="0" applyNumberFormat="1" applyFont="1" applyFill="1" applyBorder="1" applyAlignment="1" applyProtection="1">
      <alignment horizontal="center" vertical="center"/>
      <protection locked="0" hidden="1"/>
    </xf>
    <xf numFmtId="9" fontId="1" fillId="3" borderId="24" xfId="0" applyNumberFormat="1" applyFont="1" applyFill="1" applyBorder="1" applyAlignment="1" applyProtection="1">
      <alignment horizontal="center" vertical="center"/>
      <protection locked="0" hidden="1"/>
    </xf>
    <xf numFmtId="9" fontId="1" fillId="3" borderId="8" xfId="0" applyNumberFormat="1" applyFont="1" applyFill="1" applyBorder="1" applyAlignment="1" applyProtection="1">
      <alignment horizontal="center" vertical="center"/>
      <protection locked="0" hidden="1"/>
    </xf>
    <xf numFmtId="9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0" fontId="1" fillId="3" borderId="25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3" borderId="26" xfId="0" applyFont="1" applyFill="1" applyBorder="1" applyAlignment="1" applyProtection="1">
      <alignment horizontal="center" vertical="center"/>
      <protection locked="0" hidden="1"/>
    </xf>
    <xf numFmtId="0" fontId="1" fillId="3" borderId="24" xfId="0" applyFont="1" applyFill="1" applyBorder="1" applyAlignment="1" applyProtection="1">
      <alignment horizontal="center" vertical="center"/>
      <protection locked="0" hidden="1"/>
    </xf>
    <xf numFmtId="0" fontId="1" fillId="3" borderId="8" xfId="0" applyFont="1" applyFill="1" applyBorder="1" applyAlignment="1" applyProtection="1">
      <alignment horizontal="center" vertical="center"/>
      <protection locked="0" hidden="1"/>
    </xf>
    <xf numFmtId="0" fontId="1" fillId="3" borderId="15" xfId="0" applyFont="1" applyFill="1" applyBorder="1" applyAlignment="1" applyProtection="1">
      <alignment horizontal="center" vertical="center"/>
      <protection locked="0" hidden="1"/>
    </xf>
    <xf numFmtId="1" fontId="1" fillId="3" borderId="16" xfId="0" applyNumberFormat="1" applyFont="1" applyFill="1" applyBorder="1" applyAlignment="1" applyProtection="1">
      <alignment horizontal="center" vertical="center"/>
      <protection locked="0" hidden="1"/>
    </xf>
    <xf numFmtId="1" fontId="1" fillId="3" borderId="0" xfId="0" applyNumberFormat="1" applyFont="1" applyFill="1" applyAlignment="1" applyProtection="1">
      <alignment horizontal="center" vertical="center"/>
      <protection locked="0" hidden="1"/>
    </xf>
    <xf numFmtId="1" fontId="1" fillId="3" borderId="14" xfId="0" applyNumberFormat="1" applyFont="1" applyFill="1" applyBorder="1" applyAlignment="1" applyProtection="1">
      <alignment horizontal="center" vertical="center"/>
      <protection locked="0" hidden="1"/>
    </xf>
    <xf numFmtId="1" fontId="1" fillId="3" borderId="21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164" fontId="1" fillId="3" borderId="16" xfId="0" applyNumberFormat="1" applyFont="1" applyFill="1" applyBorder="1" applyAlignment="1" applyProtection="1">
      <alignment horizontal="right"/>
      <protection hidden="1"/>
    </xf>
    <xf numFmtId="164" fontId="1" fillId="3" borderId="0" xfId="0" applyNumberFormat="1" applyFont="1" applyFill="1" applyAlignment="1" applyProtection="1">
      <alignment horizontal="right"/>
      <protection hidden="1"/>
    </xf>
    <xf numFmtId="168" fontId="1" fillId="3" borderId="16" xfId="0" applyNumberFormat="1" applyFont="1" applyFill="1" applyBorder="1" applyAlignment="1" applyProtection="1">
      <alignment horizontal="right"/>
      <protection hidden="1"/>
    </xf>
    <xf numFmtId="168" fontId="1" fillId="3" borderId="0" xfId="0" applyNumberFormat="1" applyFont="1" applyFill="1" applyAlignment="1" applyProtection="1">
      <alignment horizontal="right"/>
      <protection hidden="1"/>
    </xf>
    <xf numFmtId="1" fontId="1" fillId="3" borderId="0" xfId="0" applyNumberFormat="1" applyFont="1" applyFill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 wrapText="1"/>
      <protection hidden="1"/>
    </xf>
    <xf numFmtId="0" fontId="7" fillId="0" borderId="20" xfId="0" applyFont="1" applyBorder="1" applyAlignment="1" applyProtection="1">
      <alignment horizontal="center" wrapText="1"/>
      <protection hidden="1"/>
    </xf>
    <xf numFmtId="0" fontId="7" fillId="0" borderId="17" xfId="0" applyFont="1" applyBorder="1" applyAlignment="1" applyProtection="1">
      <alignment horizontal="center" wrapText="1"/>
      <protection hidden="1"/>
    </xf>
    <xf numFmtId="0" fontId="6" fillId="0" borderId="2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1" fillId="2" borderId="37" xfId="0" applyFont="1" applyFill="1" applyBorder="1" applyAlignment="1" applyProtection="1">
      <alignment horizontal="center" vertical="center"/>
      <protection hidden="1"/>
    </xf>
    <xf numFmtId="0" fontId="9" fillId="0" borderId="19" xfId="0" quotePrefix="1" applyFont="1" applyBorder="1" applyAlignment="1" applyProtection="1">
      <alignment horizontal="center"/>
      <protection hidden="1"/>
    </xf>
    <xf numFmtId="0" fontId="9" fillId="0" borderId="20" xfId="0" quotePrefix="1" applyFont="1" applyBorder="1" applyAlignment="1" applyProtection="1">
      <alignment horizont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9" fillId="0" borderId="21" xfId="0" quotePrefix="1" applyFont="1" applyBorder="1" applyAlignment="1" applyProtection="1">
      <alignment horizontal="center"/>
      <protection hidden="1"/>
    </xf>
    <xf numFmtId="0" fontId="9" fillId="0" borderId="1" xfId="0" quotePrefix="1" applyFont="1" applyBorder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1" fillId="3" borderId="0" xfId="0" applyNumberFormat="1" applyFont="1" applyFill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4" fillId="3" borderId="0" xfId="0" quotePrefix="1" applyFont="1" applyFill="1" applyAlignment="1" applyProtection="1">
      <alignment horizontal="left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/>
      <protection hidden="1"/>
    </xf>
    <xf numFmtId="0" fontId="1" fillId="2" borderId="32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/>
      <protection hidden="1"/>
    </xf>
    <xf numFmtId="0" fontId="0" fillId="2" borderId="29" xfId="0" applyFill="1" applyBorder="1" applyAlignment="1" applyProtection="1">
      <alignment horizontal="center"/>
      <protection hidden="1"/>
    </xf>
    <xf numFmtId="0" fontId="0" fillId="2" borderId="32" xfId="0" applyFill="1" applyBorder="1" applyAlignment="1" applyProtection="1">
      <alignment horizontal="center"/>
      <protection hidden="1"/>
    </xf>
    <xf numFmtId="0" fontId="0" fillId="0" borderId="16" xfId="0" quotePrefix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6" fillId="0" borderId="34" xfId="0" quotePrefix="1" applyFont="1" applyBorder="1" applyAlignment="1" applyProtection="1">
      <alignment horizontal="right"/>
      <protection hidden="1"/>
    </xf>
    <xf numFmtId="0" fontId="6" fillId="0" borderId="35" xfId="0" quotePrefix="1" applyFont="1" applyBorder="1" applyAlignment="1" applyProtection="1">
      <alignment horizontal="right"/>
      <protection hidden="1"/>
    </xf>
    <xf numFmtId="0" fontId="6" fillId="0" borderId="19" xfId="0" quotePrefix="1" applyFont="1" applyBorder="1" applyAlignment="1" applyProtection="1">
      <alignment horizontal="center"/>
      <protection hidden="1"/>
    </xf>
    <xf numFmtId="0" fontId="6" fillId="0" borderId="17" xfId="0" quotePrefix="1" applyFont="1" applyBorder="1" applyAlignment="1" applyProtection="1">
      <alignment horizontal="center"/>
      <protection hidden="1"/>
    </xf>
    <xf numFmtId="0" fontId="7" fillId="0" borderId="0" xfId="0" quotePrefix="1" applyFont="1" applyAlignment="1" applyProtection="1">
      <alignment horizontal="center"/>
      <protection hidden="1"/>
    </xf>
    <xf numFmtId="0" fontId="7" fillId="0" borderId="14" xfId="0" quotePrefix="1" applyFont="1" applyBorder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164" fontId="0" fillId="0" borderId="20" xfId="0" applyNumberFormat="1" applyBorder="1" applyAlignment="1" applyProtection="1">
      <alignment horizontal="center"/>
      <protection hidden="1"/>
    </xf>
    <xf numFmtId="164" fontId="0" fillId="0" borderId="17" xfId="0" applyNumberForma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164" fontId="0" fillId="2" borderId="31" xfId="0" applyNumberFormat="1" applyFill="1" applyBorder="1" applyAlignment="1" applyProtection="1">
      <alignment horizontal="center"/>
      <protection hidden="1"/>
    </xf>
    <xf numFmtId="164" fontId="0" fillId="2" borderId="32" xfId="0" applyNumberFormat="1" applyFill="1" applyBorder="1" applyAlignment="1" applyProtection="1">
      <alignment horizontal="center"/>
      <protection hidden="1"/>
    </xf>
    <xf numFmtId="0" fontId="6" fillId="0" borderId="31" xfId="0" quotePrefix="1" applyFont="1" applyBorder="1" applyAlignment="1" applyProtection="1">
      <alignment horizontal="center"/>
      <protection hidden="1"/>
    </xf>
    <xf numFmtId="0" fontId="6" fillId="0" borderId="29" xfId="0" quotePrefix="1" applyFont="1" applyBorder="1" applyAlignment="1" applyProtection="1">
      <alignment horizontal="center"/>
      <protection hidden="1"/>
    </xf>
    <xf numFmtId="0" fontId="6" fillId="0" borderId="32" xfId="0" quotePrefix="1" applyFont="1" applyBorder="1" applyAlignment="1" applyProtection="1">
      <alignment horizontal="center"/>
      <protection hidden="1"/>
    </xf>
    <xf numFmtId="0" fontId="1" fillId="3" borderId="16" xfId="0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/>
      <protection hidden="1"/>
    </xf>
    <xf numFmtId="0" fontId="1" fillId="3" borderId="20" xfId="0" applyFont="1" applyFill="1" applyBorder="1" applyAlignment="1" applyProtection="1">
      <alignment horizontal="center"/>
      <protection hidden="1"/>
    </xf>
    <xf numFmtId="0" fontId="1" fillId="3" borderId="24" xfId="0" applyFont="1" applyFill="1" applyBorder="1" applyAlignment="1" applyProtection="1">
      <alignment horizontal="right"/>
      <protection hidden="1"/>
    </xf>
    <xf numFmtId="0" fontId="1" fillId="3" borderId="8" xfId="0" applyFont="1" applyFill="1" applyBorder="1" applyAlignment="1" applyProtection="1">
      <alignment horizontal="right"/>
      <protection hidden="1"/>
    </xf>
    <xf numFmtId="0" fontId="1" fillId="3" borderId="25" xfId="0" applyFont="1" applyFill="1" applyBorder="1" applyAlignment="1" applyProtection="1">
      <alignment horizontal="right" vertical="center"/>
      <protection hidden="1"/>
    </xf>
    <xf numFmtId="0" fontId="1" fillId="3" borderId="3" xfId="0" applyFont="1" applyFill="1" applyBorder="1" applyAlignment="1" applyProtection="1">
      <alignment horizontal="right" vertical="center"/>
      <protection hidden="1"/>
    </xf>
    <xf numFmtId="0" fontId="1" fillId="3" borderId="24" xfId="0" applyFont="1" applyFill="1" applyBorder="1" applyAlignment="1" applyProtection="1">
      <alignment horizontal="right" vertical="center"/>
      <protection hidden="1"/>
    </xf>
    <xf numFmtId="0" fontId="1" fillId="3" borderId="8" xfId="0" applyFont="1" applyFill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5" fillId="3" borderId="24" xfId="0" applyFont="1" applyFill="1" applyBorder="1" applyAlignment="1" applyProtection="1">
      <alignment horizontal="center"/>
      <protection hidden="1"/>
    </xf>
    <xf numFmtId="0" fontId="15" fillId="3" borderId="8" xfId="0" applyFont="1" applyFill="1" applyBorder="1" applyAlignment="1" applyProtection="1">
      <alignment horizontal="center"/>
      <protection hidden="1"/>
    </xf>
    <xf numFmtId="0" fontId="9" fillId="3" borderId="25" xfId="0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4" fillId="3" borderId="14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locked="0" hidden="1"/>
    </xf>
    <xf numFmtId="0" fontId="1" fillId="3" borderId="20" xfId="0" applyFont="1" applyFill="1" applyBorder="1" applyAlignment="1" applyProtection="1">
      <alignment horizontal="center" vertical="center"/>
      <protection locked="0" hidden="1"/>
    </xf>
    <xf numFmtId="0" fontId="1" fillId="3" borderId="17" xfId="0" applyFont="1" applyFill="1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1" fontId="1" fillId="3" borderId="0" xfId="1" applyNumberFormat="1" applyFont="1" applyFill="1" applyBorder="1" applyAlignment="1" applyProtection="1">
      <alignment horizontal="center"/>
      <protection hidden="1"/>
    </xf>
    <xf numFmtId="0" fontId="1" fillId="3" borderId="25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1" fillId="3" borderId="24" xfId="0" applyFont="1" applyFill="1" applyBorder="1" applyAlignment="1" applyProtection="1">
      <alignment horizont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1" fillId="3" borderId="16" xfId="0" applyFont="1" applyFill="1" applyBorder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</cellXfs>
  <cellStyles count="2">
    <cellStyle name="Procent" xfId="1" builtinId="5"/>
    <cellStyle name="Standaard" xfId="0" builtinId="0"/>
  </cellStyles>
  <dxfs count="16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strike val="0"/>
        <u val="none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B065A"/>
      <color rgb="FFA0528F"/>
      <color rgb="FFA05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29</xdr:row>
          <xdr:rowOff>134470</xdr:rowOff>
        </xdr:from>
        <xdr:to>
          <xdr:col>12</xdr:col>
          <xdr:colOff>11207</xdr:colOff>
          <xdr:row>37</xdr:row>
          <xdr:rowOff>100408</xdr:rowOff>
        </xdr:to>
        <xdr:pic>
          <xdr:nvPicPr>
            <xdr:cNvPr id="97" name="Afbeelding 96">
              <a:extLst>
                <a:ext uri="{FF2B5EF4-FFF2-40B4-BE49-F238E27FC236}">
                  <a16:creationId xmlns:a16="http://schemas.microsoft.com/office/drawing/2014/main" id="{7398CC88-A991-475D-B9B2-DDF239486D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_band" spid="_x0000_s75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5703794"/>
              <a:ext cx="3597088" cy="14899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17416</xdr:rowOff>
        </xdr:from>
        <xdr:to>
          <xdr:col>30</xdr:col>
          <xdr:colOff>52107</xdr:colOff>
          <xdr:row>37</xdr:row>
          <xdr:rowOff>3727</xdr:rowOff>
        </xdr:to>
        <xdr:pic>
          <xdr:nvPicPr>
            <xdr:cNvPr id="4" name="Afbeelding 3">
              <a:extLst>
                <a:ext uri="{FF2B5EF4-FFF2-40B4-BE49-F238E27FC236}">
                  <a16:creationId xmlns:a16="http://schemas.microsoft.com/office/drawing/2014/main" id="{504CEA5C-C6D5-4508-A2D8-B40E0DDBF4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Zoek_Rail" spid="_x0000_s756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563471" y="5205740"/>
              <a:ext cx="5218019" cy="189131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</xdr:col>
      <xdr:colOff>186018</xdr:colOff>
      <xdr:row>0</xdr:row>
      <xdr:rowOff>123264</xdr:rowOff>
    </xdr:from>
    <xdr:to>
      <xdr:col>16</xdr:col>
      <xdr:colOff>22973</xdr:colOff>
      <xdr:row>6</xdr:row>
      <xdr:rowOff>27100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4A9BD9-3E9F-42C2-BC3A-BF93B7A2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4753" y="123264"/>
          <a:ext cx="3927102" cy="1058042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504</xdr:row>
      <xdr:rowOff>0</xdr:rowOff>
    </xdr:from>
    <xdr:to>
      <xdr:col>92</xdr:col>
      <xdr:colOff>1866</xdr:colOff>
      <xdr:row>504</xdr:row>
      <xdr:rowOff>1827107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84668D2-6F14-402D-A0E6-C82D12CF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576000" y="21878925"/>
          <a:ext cx="5181600" cy="1827107"/>
        </a:xfrm>
        <a:prstGeom prst="rect">
          <a:avLst/>
        </a:prstGeom>
      </xdr:spPr>
    </xdr:pic>
    <xdr:clientData/>
  </xdr:twoCellAnchor>
  <xdr:twoCellAnchor editAs="oneCell">
    <xdr:from>
      <xdr:col>91</xdr:col>
      <xdr:colOff>1</xdr:colOff>
      <xdr:row>509</xdr:row>
      <xdr:rowOff>1</xdr:rowOff>
    </xdr:from>
    <xdr:to>
      <xdr:col>92</xdr:col>
      <xdr:colOff>2140</xdr:colOff>
      <xdr:row>510</xdr:row>
      <xdr:rowOff>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0D9FD0E-918D-4EEA-B128-C7CF3B319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576001" y="31261051"/>
          <a:ext cx="5183741" cy="1876425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504</xdr:row>
      <xdr:rowOff>1877784</xdr:rowOff>
    </xdr:from>
    <xdr:to>
      <xdr:col>92</xdr:col>
      <xdr:colOff>1866</xdr:colOff>
      <xdr:row>506</xdr:row>
      <xdr:rowOff>6364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9463722D-365D-4B5F-A9E4-47A92E650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576000" y="23756709"/>
          <a:ext cx="5181600" cy="1881432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510</xdr:row>
      <xdr:rowOff>1</xdr:rowOff>
    </xdr:from>
    <xdr:to>
      <xdr:col>92</xdr:col>
      <xdr:colOff>1866</xdr:colOff>
      <xdr:row>511</xdr:row>
      <xdr:rowOff>11106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B9F1EB62-22C8-491A-9F66-41961567A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576000" y="33137476"/>
          <a:ext cx="5181600" cy="1887529"/>
        </a:xfrm>
        <a:prstGeom prst="rect">
          <a:avLst/>
        </a:prstGeom>
      </xdr:spPr>
    </xdr:pic>
    <xdr:clientData/>
  </xdr:twoCellAnchor>
  <xdr:twoCellAnchor editAs="oneCell">
    <xdr:from>
      <xdr:col>91</xdr:col>
      <xdr:colOff>2639786</xdr:colOff>
      <xdr:row>504</xdr:row>
      <xdr:rowOff>503464</xdr:rowOff>
    </xdr:from>
    <xdr:to>
      <xdr:col>91</xdr:col>
      <xdr:colOff>2887471</xdr:colOff>
      <xdr:row>504</xdr:row>
      <xdr:rowOff>808307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7ECF467-889A-41EA-AA95-066C882CD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215786" y="22382389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3823607</xdr:colOff>
      <xdr:row>504</xdr:row>
      <xdr:rowOff>517071</xdr:rowOff>
    </xdr:from>
    <xdr:to>
      <xdr:col>91</xdr:col>
      <xdr:colOff>4071292</xdr:colOff>
      <xdr:row>504</xdr:row>
      <xdr:rowOff>821914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FF7FEE71-4235-4C7B-A30C-DED819EC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399607" y="22395996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4354285</xdr:colOff>
      <xdr:row>504</xdr:row>
      <xdr:rowOff>1129393</xdr:rowOff>
    </xdr:from>
    <xdr:to>
      <xdr:col>91</xdr:col>
      <xdr:colOff>4601970</xdr:colOff>
      <xdr:row>504</xdr:row>
      <xdr:rowOff>1434236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FAEFA38-077F-4DCC-9459-9634BB3F7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930285" y="23008318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3197679</xdr:colOff>
      <xdr:row>504</xdr:row>
      <xdr:rowOff>1143000</xdr:rowOff>
    </xdr:from>
    <xdr:to>
      <xdr:col>91</xdr:col>
      <xdr:colOff>3445364</xdr:colOff>
      <xdr:row>504</xdr:row>
      <xdr:rowOff>1447843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9CBDE6F3-7DDD-4C69-8F4F-89ED325E9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73679" y="23021925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2027464</xdr:colOff>
      <xdr:row>504</xdr:row>
      <xdr:rowOff>1129393</xdr:rowOff>
    </xdr:from>
    <xdr:to>
      <xdr:col>91</xdr:col>
      <xdr:colOff>2275149</xdr:colOff>
      <xdr:row>504</xdr:row>
      <xdr:rowOff>1434236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29639FEA-E15D-4AFF-9516-46BEB55F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03464" y="23008318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898071</xdr:colOff>
      <xdr:row>504</xdr:row>
      <xdr:rowOff>1088572</xdr:rowOff>
    </xdr:from>
    <xdr:to>
      <xdr:col>91</xdr:col>
      <xdr:colOff>1145756</xdr:colOff>
      <xdr:row>504</xdr:row>
      <xdr:rowOff>1393415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9584A348-FBA9-4120-8AEF-B5AA8C84B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474071" y="22967497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1510392</xdr:colOff>
      <xdr:row>504</xdr:row>
      <xdr:rowOff>517071</xdr:rowOff>
    </xdr:from>
    <xdr:to>
      <xdr:col>91</xdr:col>
      <xdr:colOff>1758077</xdr:colOff>
      <xdr:row>504</xdr:row>
      <xdr:rowOff>821914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EFF369B6-1528-4349-A6DF-ADE24C129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086392" y="22395996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4830537</xdr:colOff>
      <xdr:row>504</xdr:row>
      <xdr:rowOff>462643</xdr:rowOff>
    </xdr:from>
    <xdr:to>
      <xdr:col>91</xdr:col>
      <xdr:colOff>4996375</xdr:colOff>
      <xdr:row>504</xdr:row>
      <xdr:rowOff>666751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98F9FF88-F47C-40FA-BCBC-835F452D0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406537" y="22341568"/>
          <a:ext cx="165838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4667249</xdr:colOff>
      <xdr:row>505</xdr:row>
      <xdr:rowOff>666749</xdr:rowOff>
    </xdr:from>
    <xdr:to>
      <xdr:col>91</xdr:col>
      <xdr:colOff>4799920</xdr:colOff>
      <xdr:row>505</xdr:row>
      <xdr:rowOff>830036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F84C6417-E2EF-4040-A835-0E1DC6784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243249" y="24422099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3524250</xdr:colOff>
      <xdr:row>505</xdr:row>
      <xdr:rowOff>693965</xdr:rowOff>
    </xdr:from>
    <xdr:to>
      <xdr:col>91</xdr:col>
      <xdr:colOff>3656921</xdr:colOff>
      <xdr:row>505</xdr:row>
      <xdr:rowOff>857252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22FDA4E1-FBC7-4872-8A3E-0D0F4CB91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100250" y="24449315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2981566</xdr:colOff>
      <xdr:row>505</xdr:row>
      <xdr:rowOff>1067761</xdr:rowOff>
    </xdr:from>
    <xdr:to>
      <xdr:col>91</xdr:col>
      <xdr:colOff>3114237</xdr:colOff>
      <xdr:row>505</xdr:row>
      <xdr:rowOff>1231048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B0FF2CAF-65FA-49D9-8DB1-588D15426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557566" y="24823111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4095749</xdr:colOff>
      <xdr:row>505</xdr:row>
      <xdr:rowOff>1061357</xdr:rowOff>
    </xdr:from>
    <xdr:to>
      <xdr:col>91</xdr:col>
      <xdr:colOff>4228420</xdr:colOff>
      <xdr:row>505</xdr:row>
      <xdr:rowOff>1224644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9419ADEE-4833-4911-983A-CDBBB0704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671749" y="2481670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2558143</xdr:colOff>
      <xdr:row>505</xdr:row>
      <xdr:rowOff>680358</xdr:rowOff>
    </xdr:from>
    <xdr:to>
      <xdr:col>91</xdr:col>
      <xdr:colOff>2690814</xdr:colOff>
      <xdr:row>505</xdr:row>
      <xdr:rowOff>843645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12E2D446-8944-4F8C-9A0F-DDB9CDC6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134143" y="2443570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1469571</xdr:colOff>
      <xdr:row>505</xdr:row>
      <xdr:rowOff>680357</xdr:rowOff>
    </xdr:from>
    <xdr:to>
      <xdr:col>91</xdr:col>
      <xdr:colOff>1602242</xdr:colOff>
      <xdr:row>505</xdr:row>
      <xdr:rowOff>843644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5ADCFF1B-62BB-4156-8E80-C3A30FA65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045571" y="2443570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2122714</xdr:colOff>
      <xdr:row>505</xdr:row>
      <xdr:rowOff>1061357</xdr:rowOff>
    </xdr:from>
    <xdr:to>
      <xdr:col>91</xdr:col>
      <xdr:colOff>2255385</xdr:colOff>
      <xdr:row>505</xdr:row>
      <xdr:rowOff>1224644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BE9D9F41-E5A1-46D8-9F76-D3AF9B84B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98714" y="2481670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340179</xdr:colOff>
      <xdr:row>505</xdr:row>
      <xdr:rowOff>666750</xdr:rowOff>
    </xdr:from>
    <xdr:to>
      <xdr:col>91</xdr:col>
      <xdr:colOff>472850</xdr:colOff>
      <xdr:row>505</xdr:row>
      <xdr:rowOff>830037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DE6480D0-1189-404F-A0C3-9332165BC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916179" y="24422100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952500</xdr:colOff>
      <xdr:row>505</xdr:row>
      <xdr:rowOff>1056555</xdr:rowOff>
    </xdr:from>
    <xdr:to>
      <xdr:col>91</xdr:col>
      <xdr:colOff>1085171</xdr:colOff>
      <xdr:row>505</xdr:row>
      <xdr:rowOff>1219842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38274B33-4F70-4308-89BC-B3DCF38B0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528500" y="24811905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4299856</xdr:colOff>
      <xdr:row>506</xdr:row>
      <xdr:rowOff>1211035</xdr:rowOff>
    </xdr:from>
    <xdr:to>
      <xdr:col>91</xdr:col>
      <xdr:colOff>4432527</xdr:colOff>
      <xdr:row>506</xdr:row>
      <xdr:rowOff>1374322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A0BA30DC-0E3E-4B1A-ABCF-330FEF546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875856" y="26842810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4735285</xdr:colOff>
      <xdr:row>506</xdr:row>
      <xdr:rowOff>489857</xdr:rowOff>
    </xdr:from>
    <xdr:to>
      <xdr:col>91</xdr:col>
      <xdr:colOff>4867956</xdr:colOff>
      <xdr:row>506</xdr:row>
      <xdr:rowOff>653144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4939E2B7-CABF-4777-BF0C-454CFFD3B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311285" y="2612163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312963</xdr:colOff>
      <xdr:row>509</xdr:row>
      <xdr:rowOff>530679</xdr:rowOff>
    </xdr:from>
    <xdr:to>
      <xdr:col>91</xdr:col>
      <xdr:colOff>445634</xdr:colOff>
      <xdr:row>509</xdr:row>
      <xdr:rowOff>693966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FD9B72F4-25AC-4802-814A-C9FF70B28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888963" y="31791729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1483178</xdr:colOff>
      <xdr:row>509</xdr:row>
      <xdr:rowOff>585107</xdr:rowOff>
    </xdr:from>
    <xdr:to>
      <xdr:col>91</xdr:col>
      <xdr:colOff>1615849</xdr:colOff>
      <xdr:row>509</xdr:row>
      <xdr:rowOff>748394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id="{FE78E562-A2BE-4654-A0DD-B7AAFF6ED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059178" y="3184615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911678</xdr:colOff>
      <xdr:row>509</xdr:row>
      <xdr:rowOff>1129393</xdr:rowOff>
    </xdr:from>
    <xdr:to>
      <xdr:col>91</xdr:col>
      <xdr:colOff>1044349</xdr:colOff>
      <xdr:row>509</xdr:row>
      <xdr:rowOff>1292680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225116F8-7C7F-41FB-88E9-5FF5B98C6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487678" y="32390443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3483428</xdr:colOff>
      <xdr:row>509</xdr:row>
      <xdr:rowOff>530678</xdr:rowOff>
    </xdr:from>
    <xdr:to>
      <xdr:col>91</xdr:col>
      <xdr:colOff>3616099</xdr:colOff>
      <xdr:row>509</xdr:row>
      <xdr:rowOff>693965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84BAB5D6-B49D-4FD7-9624-389E9826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59428" y="3179172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4735285</xdr:colOff>
      <xdr:row>509</xdr:row>
      <xdr:rowOff>557892</xdr:rowOff>
    </xdr:from>
    <xdr:to>
      <xdr:col>91</xdr:col>
      <xdr:colOff>4867956</xdr:colOff>
      <xdr:row>509</xdr:row>
      <xdr:rowOff>721179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06D15174-32F6-4B5E-954C-72D9527EF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311285" y="3181894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4109357</xdr:colOff>
      <xdr:row>509</xdr:row>
      <xdr:rowOff>1102179</xdr:rowOff>
    </xdr:from>
    <xdr:to>
      <xdr:col>91</xdr:col>
      <xdr:colOff>4242028</xdr:colOff>
      <xdr:row>509</xdr:row>
      <xdr:rowOff>1265466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71372350-1E2C-4A74-A838-31AA4DFFB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685357" y="32363229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326571</xdr:colOff>
      <xdr:row>510</xdr:row>
      <xdr:rowOff>680357</xdr:rowOff>
    </xdr:from>
    <xdr:to>
      <xdr:col>91</xdr:col>
      <xdr:colOff>459242</xdr:colOff>
      <xdr:row>510</xdr:row>
      <xdr:rowOff>843644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3FABC568-A339-4990-861C-2A8EC7E78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902571" y="3381783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1319893</xdr:colOff>
      <xdr:row>510</xdr:row>
      <xdr:rowOff>666750</xdr:rowOff>
    </xdr:from>
    <xdr:to>
      <xdr:col>91</xdr:col>
      <xdr:colOff>1452564</xdr:colOff>
      <xdr:row>510</xdr:row>
      <xdr:rowOff>830037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69086549-2D54-4D43-B6E6-E5930B85D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895893" y="33804225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843643</xdr:colOff>
      <xdr:row>510</xdr:row>
      <xdr:rowOff>1061357</xdr:rowOff>
    </xdr:from>
    <xdr:to>
      <xdr:col>91</xdr:col>
      <xdr:colOff>976314</xdr:colOff>
      <xdr:row>510</xdr:row>
      <xdr:rowOff>1224644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A98E33BB-FBA7-4B9D-A254-1BB4CF5C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419643" y="3419883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2177142</xdr:colOff>
      <xdr:row>510</xdr:row>
      <xdr:rowOff>666750</xdr:rowOff>
    </xdr:from>
    <xdr:to>
      <xdr:col>91</xdr:col>
      <xdr:colOff>2309813</xdr:colOff>
      <xdr:row>510</xdr:row>
      <xdr:rowOff>830037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id="{1AD285D6-8768-43E7-A84E-211731056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753142" y="33804225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1714499</xdr:colOff>
      <xdr:row>510</xdr:row>
      <xdr:rowOff>1047750</xdr:rowOff>
    </xdr:from>
    <xdr:to>
      <xdr:col>91</xdr:col>
      <xdr:colOff>1847170</xdr:colOff>
      <xdr:row>510</xdr:row>
      <xdr:rowOff>1211037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89DEB787-EB59-4ACB-8DBF-95D2A8FF8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290499" y="34185225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2871107</xdr:colOff>
      <xdr:row>510</xdr:row>
      <xdr:rowOff>666751</xdr:rowOff>
    </xdr:from>
    <xdr:to>
      <xdr:col>91</xdr:col>
      <xdr:colOff>3003778</xdr:colOff>
      <xdr:row>510</xdr:row>
      <xdr:rowOff>830038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F1D8D8C9-BE50-47B0-9A02-F7249F97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447107" y="33804226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3360964</xdr:colOff>
      <xdr:row>510</xdr:row>
      <xdr:rowOff>1074964</xdr:rowOff>
    </xdr:from>
    <xdr:to>
      <xdr:col>91</xdr:col>
      <xdr:colOff>3493635</xdr:colOff>
      <xdr:row>510</xdr:row>
      <xdr:rowOff>1238251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id="{3F0226A4-2A2C-41AB-BF4E-B2373FA5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936964" y="34212439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3782785</xdr:colOff>
      <xdr:row>510</xdr:row>
      <xdr:rowOff>639536</xdr:rowOff>
    </xdr:from>
    <xdr:to>
      <xdr:col>91</xdr:col>
      <xdr:colOff>3915456</xdr:colOff>
      <xdr:row>510</xdr:row>
      <xdr:rowOff>802823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D80B30D2-876D-4D1E-AFF1-6569D132A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358785" y="33777011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4163785</xdr:colOff>
      <xdr:row>510</xdr:row>
      <xdr:rowOff>1061358</xdr:rowOff>
    </xdr:from>
    <xdr:to>
      <xdr:col>91</xdr:col>
      <xdr:colOff>4296456</xdr:colOff>
      <xdr:row>510</xdr:row>
      <xdr:rowOff>1224645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FBC8BECD-14AA-46BE-88CF-CB5A0F82D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739785" y="34198833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4667249</xdr:colOff>
      <xdr:row>510</xdr:row>
      <xdr:rowOff>680357</xdr:rowOff>
    </xdr:from>
    <xdr:to>
      <xdr:col>91</xdr:col>
      <xdr:colOff>4799920</xdr:colOff>
      <xdr:row>510</xdr:row>
      <xdr:rowOff>843644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16338467-A3ED-4362-A472-1DEB0249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243249" y="3381783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952500</xdr:colOff>
      <xdr:row>511</xdr:row>
      <xdr:rowOff>1197428</xdr:rowOff>
    </xdr:from>
    <xdr:to>
      <xdr:col>91</xdr:col>
      <xdr:colOff>1085171</xdr:colOff>
      <xdr:row>511</xdr:row>
      <xdr:rowOff>1360715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id="{B188CF2D-5ED6-40BA-9C28-FBB19FC87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528500" y="3621132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4054928</xdr:colOff>
      <xdr:row>511</xdr:row>
      <xdr:rowOff>1197428</xdr:rowOff>
    </xdr:from>
    <xdr:to>
      <xdr:col>91</xdr:col>
      <xdr:colOff>4187599</xdr:colOff>
      <xdr:row>511</xdr:row>
      <xdr:rowOff>1360715</xdr:rowOff>
    </xdr:to>
    <xdr:pic>
      <xdr:nvPicPr>
        <xdr:cNvPr id="47" name="Afbeelding 46">
          <a:extLst>
            <a:ext uri="{FF2B5EF4-FFF2-40B4-BE49-F238E27FC236}">
              <a16:creationId xmlns:a16="http://schemas.microsoft.com/office/drawing/2014/main" id="{512FAC5B-7A2F-41D0-9F17-6385A5352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630928" y="3621132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511</xdr:row>
      <xdr:rowOff>56676</xdr:rowOff>
    </xdr:from>
    <xdr:to>
      <xdr:col>92</xdr:col>
      <xdr:colOff>1864</xdr:colOff>
      <xdr:row>512</xdr:row>
      <xdr:rowOff>6402</xdr:rowOff>
    </xdr:to>
    <xdr:pic>
      <xdr:nvPicPr>
        <xdr:cNvPr id="53" name="Afbeelding 52">
          <a:extLst>
            <a:ext uri="{FF2B5EF4-FFF2-40B4-BE49-F238E27FC236}">
              <a16:creationId xmlns:a16="http://schemas.microsoft.com/office/drawing/2014/main" id="{1AFB1CAC-581C-4BA6-A275-D242399A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576000" y="35070576"/>
          <a:ext cx="5183466" cy="1819749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506</xdr:row>
      <xdr:rowOff>53182</xdr:rowOff>
    </xdr:from>
    <xdr:to>
      <xdr:col>91</xdr:col>
      <xdr:colOff>5171514</xdr:colOff>
      <xdr:row>507</xdr:row>
      <xdr:rowOff>6403</xdr:rowOff>
    </xdr:to>
    <xdr:pic>
      <xdr:nvPicPr>
        <xdr:cNvPr id="54" name="Afbeelding 53">
          <a:extLst>
            <a:ext uri="{FF2B5EF4-FFF2-40B4-BE49-F238E27FC236}">
              <a16:creationId xmlns:a16="http://schemas.microsoft.com/office/drawing/2014/main" id="{095BF469-DED1-43FA-BB4B-0E9F9D97A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596235" y="91112182"/>
          <a:ext cx="5171514" cy="1818200"/>
        </a:xfrm>
        <a:prstGeom prst="rect">
          <a:avLst/>
        </a:prstGeom>
      </xdr:spPr>
    </xdr:pic>
    <xdr:clientData/>
  </xdr:twoCellAnchor>
  <xdr:twoCellAnchor editAs="oneCell">
    <xdr:from>
      <xdr:col>91</xdr:col>
      <xdr:colOff>4370295</xdr:colOff>
      <xdr:row>506</xdr:row>
      <xdr:rowOff>1221443</xdr:rowOff>
    </xdr:from>
    <xdr:to>
      <xdr:col>91</xdr:col>
      <xdr:colOff>4506867</xdr:colOff>
      <xdr:row>506</xdr:row>
      <xdr:rowOff>1389531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E4DB8230-529F-4B62-84BD-32061CA3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946295" y="26853218"/>
          <a:ext cx="136572" cy="168088"/>
        </a:xfrm>
        <a:prstGeom prst="rect">
          <a:avLst/>
        </a:prstGeom>
      </xdr:spPr>
    </xdr:pic>
    <xdr:clientData/>
  </xdr:twoCellAnchor>
  <xdr:twoCellAnchor editAs="oneCell">
    <xdr:from>
      <xdr:col>91</xdr:col>
      <xdr:colOff>4706470</xdr:colOff>
      <xdr:row>505</xdr:row>
      <xdr:rowOff>672354</xdr:rowOff>
    </xdr:from>
    <xdr:to>
      <xdr:col>91</xdr:col>
      <xdr:colOff>4861251</xdr:colOff>
      <xdr:row>505</xdr:row>
      <xdr:rowOff>862854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9A973373-E587-4EA8-A22D-BFB6CC1E4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282470" y="24427704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4740088</xdr:colOff>
      <xdr:row>506</xdr:row>
      <xdr:rowOff>560293</xdr:rowOff>
    </xdr:from>
    <xdr:to>
      <xdr:col>91</xdr:col>
      <xdr:colOff>4840941</xdr:colOff>
      <xdr:row>506</xdr:row>
      <xdr:rowOff>684420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149A3EA7-1AB6-404D-801D-7A00E6666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316088" y="26192068"/>
          <a:ext cx="100853" cy="124127"/>
        </a:xfrm>
        <a:prstGeom prst="rect">
          <a:avLst/>
        </a:prstGeom>
      </xdr:spPr>
    </xdr:pic>
    <xdr:clientData/>
  </xdr:twoCellAnchor>
  <xdr:twoCellAnchor editAs="oneCell">
    <xdr:from>
      <xdr:col>91</xdr:col>
      <xdr:colOff>369794</xdr:colOff>
      <xdr:row>505</xdr:row>
      <xdr:rowOff>649941</xdr:rowOff>
    </xdr:from>
    <xdr:to>
      <xdr:col>91</xdr:col>
      <xdr:colOff>524575</xdr:colOff>
      <xdr:row>505</xdr:row>
      <xdr:rowOff>840441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5A567A55-8C81-4C99-88EF-084BD93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945794" y="24405291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3406588</xdr:colOff>
      <xdr:row>508</xdr:row>
      <xdr:rowOff>649941</xdr:rowOff>
    </xdr:from>
    <xdr:to>
      <xdr:col>91</xdr:col>
      <xdr:colOff>3561369</xdr:colOff>
      <xdr:row>508</xdr:row>
      <xdr:rowOff>840441</xdr:rowOff>
    </xdr:to>
    <xdr:pic>
      <xdr:nvPicPr>
        <xdr:cNvPr id="60" name="Afbeelding 59">
          <a:extLst>
            <a:ext uri="{FF2B5EF4-FFF2-40B4-BE49-F238E27FC236}">
              <a16:creationId xmlns:a16="http://schemas.microsoft.com/office/drawing/2014/main" id="{EBD33110-7226-4A45-BE8C-3164D9DA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982588" y="30034566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1053353</xdr:colOff>
      <xdr:row>511</xdr:row>
      <xdr:rowOff>1199029</xdr:rowOff>
    </xdr:from>
    <xdr:to>
      <xdr:col>91</xdr:col>
      <xdr:colOff>1208134</xdr:colOff>
      <xdr:row>511</xdr:row>
      <xdr:rowOff>1389529</xdr:rowOff>
    </xdr:to>
    <xdr:pic>
      <xdr:nvPicPr>
        <xdr:cNvPr id="61" name="Afbeelding 60">
          <a:extLst>
            <a:ext uri="{FF2B5EF4-FFF2-40B4-BE49-F238E27FC236}">
              <a16:creationId xmlns:a16="http://schemas.microsoft.com/office/drawing/2014/main" id="{07172D97-B091-408D-B4AC-59DF44240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629353" y="36212929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3910853</xdr:colOff>
      <xdr:row>511</xdr:row>
      <xdr:rowOff>1199030</xdr:rowOff>
    </xdr:from>
    <xdr:to>
      <xdr:col>91</xdr:col>
      <xdr:colOff>4065634</xdr:colOff>
      <xdr:row>511</xdr:row>
      <xdr:rowOff>1389530</xdr:rowOff>
    </xdr:to>
    <xdr:pic>
      <xdr:nvPicPr>
        <xdr:cNvPr id="62" name="Afbeelding 61">
          <a:extLst>
            <a:ext uri="{FF2B5EF4-FFF2-40B4-BE49-F238E27FC236}">
              <a16:creationId xmlns:a16="http://schemas.microsoft.com/office/drawing/2014/main" id="{FFA87448-A7DC-49C0-A5F9-9EB29F2BE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486853" y="3621293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1</xdr:colOff>
      <xdr:row>508</xdr:row>
      <xdr:rowOff>0</xdr:rowOff>
    </xdr:from>
    <xdr:to>
      <xdr:col>91</xdr:col>
      <xdr:colOff>5121089</xdr:colOff>
      <xdr:row>508</xdr:row>
      <xdr:rowOff>1860527</xdr:rowOff>
    </xdr:to>
    <xdr:pic>
      <xdr:nvPicPr>
        <xdr:cNvPr id="64" name="Afbeelding 63">
          <a:extLst>
            <a:ext uri="{FF2B5EF4-FFF2-40B4-BE49-F238E27FC236}">
              <a16:creationId xmlns:a16="http://schemas.microsoft.com/office/drawing/2014/main" id="{69BE050F-B7DA-40E1-822F-4C7BDCFC3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576001" y="29384625"/>
          <a:ext cx="5121088" cy="1860527"/>
        </a:xfrm>
        <a:prstGeom prst="rect">
          <a:avLst/>
        </a:prstGeom>
      </xdr:spPr>
    </xdr:pic>
    <xdr:clientData/>
  </xdr:twoCellAnchor>
  <xdr:twoCellAnchor editAs="oneCell">
    <xdr:from>
      <xdr:col>91</xdr:col>
      <xdr:colOff>974912</xdr:colOff>
      <xdr:row>508</xdr:row>
      <xdr:rowOff>1019735</xdr:rowOff>
    </xdr:from>
    <xdr:to>
      <xdr:col>91</xdr:col>
      <xdr:colOff>1129693</xdr:colOff>
      <xdr:row>508</xdr:row>
      <xdr:rowOff>1210235</xdr:rowOff>
    </xdr:to>
    <xdr:pic>
      <xdr:nvPicPr>
        <xdr:cNvPr id="65" name="Afbeelding 64">
          <a:extLst>
            <a:ext uri="{FF2B5EF4-FFF2-40B4-BE49-F238E27FC236}">
              <a16:creationId xmlns:a16="http://schemas.microsoft.com/office/drawing/2014/main" id="{924B859D-9F7D-4796-B015-23C7B9E1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550912" y="3040436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1485900</xdr:colOff>
      <xdr:row>508</xdr:row>
      <xdr:rowOff>645458</xdr:rowOff>
    </xdr:from>
    <xdr:to>
      <xdr:col>91</xdr:col>
      <xdr:colOff>1640681</xdr:colOff>
      <xdr:row>508</xdr:row>
      <xdr:rowOff>835958</xdr:rowOff>
    </xdr:to>
    <xdr:pic>
      <xdr:nvPicPr>
        <xdr:cNvPr id="66" name="Afbeelding 65">
          <a:extLst>
            <a:ext uri="{FF2B5EF4-FFF2-40B4-BE49-F238E27FC236}">
              <a16:creationId xmlns:a16="http://schemas.microsoft.com/office/drawing/2014/main" id="{F34D1C22-7D19-4186-9A56-CFE40FFA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061900" y="30030083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2041712</xdr:colOff>
      <xdr:row>508</xdr:row>
      <xdr:rowOff>1021975</xdr:rowOff>
    </xdr:from>
    <xdr:to>
      <xdr:col>91</xdr:col>
      <xdr:colOff>2196493</xdr:colOff>
      <xdr:row>508</xdr:row>
      <xdr:rowOff>1212475</xdr:rowOff>
    </xdr:to>
    <xdr:pic>
      <xdr:nvPicPr>
        <xdr:cNvPr id="67" name="Afbeelding 66">
          <a:extLst>
            <a:ext uri="{FF2B5EF4-FFF2-40B4-BE49-F238E27FC236}">
              <a16:creationId xmlns:a16="http://schemas.microsoft.com/office/drawing/2014/main" id="{8D366813-E5A9-4C58-A884-F016923F6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17712" y="3040660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2631141</xdr:colOff>
      <xdr:row>508</xdr:row>
      <xdr:rowOff>636493</xdr:rowOff>
    </xdr:from>
    <xdr:to>
      <xdr:col>91</xdr:col>
      <xdr:colOff>2785922</xdr:colOff>
      <xdr:row>508</xdr:row>
      <xdr:rowOff>826993</xdr:rowOff>
    </xdr:to>
    <xdr:pic>
      <xdr:nvPicPr>
        <xdr:cNvPr id="68" name="Afbeelding 67">
          <a:extLst>
            <a:ext uri="{FF2B5EF4-FFF2-40B4-BE49-F238E27FC236}">
              <a16:creationId xmlns:a16="http://schemas.microsoft.com/office/drawing/2014/main" id="{CC7AB200-17D2-4323-A410-447BC664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207141" y="30021118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3130925</xdr:colOff>
      <xdr:row>508</xdr:row>
      <xdr:rowOff>1021815</xdr:rowOff>
    </xdr:from>
    <xdr:to>
      <xdr:col>91</xdr:col>
      <xdr:colOff>3285706</xdr:colOff>
      <xdr:row>508</xdr:row>
      <xdr:rowOff>1212315</xdr:rowOff>
    </xdr:to>
    <xdr:pic>
      <xdr:nvPicPr>
        <xdr:cNvPr id="69" name="Afbeelding 68">
          <a:extLst>
            <a:ext uri="{FF2B5EF4-FFF2-40B4-BE49-F238E27FC236}">
              <a16:creationId xmlns:a16="http://schemas.microsoft.com/office/drawing/2014/main" id="{E53701A8-DE6B-48D0-A5C1-5C5D79D30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06925" y="3040644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3776383</xdr:colOff>
      <xdr:row>508</xdr:row>
      <xdr:rowOff>627528</xdr:rowOff>
    </xdr:from>
    <xdr:to>
      <xdr:col>91</xdr:col>
      <xdr:colOff>3931164</xdr:colOff>
      <xdr:row>508</xdr:row>
      <xdr:rowOff>818028</xdr:rowOff>
    </xdr:to>
    <xdr:pic>
      <xdr:nvPicPr>
        <xdr:cNvPr id="70" name="Afbeelding 69">
          <a:extLst>
            <a:ext uri="{FF2B5EF4-FFF2-40B4-BE49-F238E27FC236}">
              <a16:creationId xmlns:a16="http://schemas.microsoft.com/office/drawing/2014/main" id="{6B32F67D-698F-4CCD-BD0F-7BAEBFA2F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352383" y="30012153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4253754</xdr:colOff>
      <xdr:row>508</xdr:row>
      <xdr:rowOff>1026458</xdr:rowOff>
    </xdr:from>
    <xdr:to>
      <xdr:col>91</xdr:col>
      <xdr:colOff>4408535</xdr:colOff>
      <xdr:row>508</xdr:row>
      <xdr:rowOff>1216958</xdr:rowOff>
    </xdr:to>
    <xdr:pic>
      <xdr:nvPicPr>
        <xdr:cNvPr id="71" name="Afbeelding 70">
          <a:extLst>
            <a:ext uri="{FF2B5EF4-FFF2-40B4-BE49-F238E27FC236}">
              <a16:creationId xmlns:a16="http://schemas.microsoft.com/office/drawing/2014/main" id="{3E2D89CA-A769-4F1C-9261-C7437C6A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829754" y="30411083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4809565</xdr:colOff>
      <xdr:row>508</xdr:row>
      <xdr:rowOff>607358</xdr:rowOff>
    </xdr:from>
    <xdr:to>
      <xdr:col>91</xdr:col>
      <xdr:colOff>4964346</xdr:colOff>
      <xdr:row>508</xdr:row>
      <xdr:rowOff>797858</xdr:rowOff>
    </xdr:to>
    <xdr:pic>
      <xdr:nvPicPr>
        <xdr:cNvPr id="72" name="Afbeelding 71">
          <a:extLst>
            <a:ext uri="{FF2B5EF4-FFF2-40B4-BE49-F238E27FC236}">
              <a16:creationId xmlns:a16="http://schemas.microsoft.com/office/drawing/2014/main" id="{EE100873-8A1D-4FA2-B98A-6627FCCE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385565" y="29991983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95249</xdr:colOff>
      <xdr:row>510</xdr:row>
      <xdr:rowOff>1632857</xdr:rowOff>
    </xdr:from>
    <xdr:to>
      <xdr:col>91</xdr:col>
      <xdr:colOff>5034642</xdr:colOff>
      <xdr:row>511</xdr:row>
      <xdr:rowOff>83324</xdr:rowOff>
    </xdr:to>
    <xdr:pic>
      <xdr:nvPicPr>
        <xdr:cNvPr id="73" name="Afbeelding 72">
          <a:extLst>
            <a:ext uri="{FF2B5EF4-FFF2-40B4-BE49-F238E27FC236}">
              <a16:creationId xmlns:a16="http://schemas.microsoft.com/office/drawing/2014/main" id="{AF43F733-A535-4893-ACE1-4F8D2A941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671249" y="34770332"/>
          <a:ext cx="4939393" cy="326891"/>
        </a:xfrm>
        <a:prstGeom prst="rect">
          <a:avLst/>
        </a:prstGeom>
      </xdr:spPr>
    </xdr:pic>
    <xdr:clientData/>
  </xdr:twoCellAnchor>
  <xdr:twoCellAnchor editAs="oneCell">
    <xdr:from>
      <xdr:col>91</xdr:col>
      <xdr:colOff>3837214</xdr:colOff>
      <xdr:row>507</xdr:row>
      <xdr:rowOff>625929</xdr:rowOff>
    </xdr:from>
    <xdr:to>
      <xdr:col>91</xdr:col>
      <xdr:colOff>3973286</xdr:colOff>
      <xdr:row>507</xdr:row>
      <xdr:rowOff>793402</xdr:rowOff>
    </xdr:to>
    <xdr:pic>
      <xdr:nvPicPr>
        <xdr:cNvPr id="74" name="Afbeelding 73">
          <a:extLst>
            <a:ext uri="{FF2B5EF4-FFF2-40B4-BE49-F238E27FC236}">
              <a16:creationId xmlns:a16="http://schemas.microsoft.com/office/drawing/2014/main" id="{FBD3FE23-3DAA-4754-8CF5-514AE6C25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413214" y="28134129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3282044</xdr:colOff>
      <xdr:row>507</xdr:row>
      <xdr:rowOff>1091293</xdr:rowOff>
    </xdr:from>
    <xdr:to>
      <xdr:col>91</xdr:col>
      <xdr:colOff>3418116</xdr:colOff>
      <xdr:row>507</xdr:row>
      <xdr:rowOff>1258766</xdr:rowOff>
    </xdr:to>
    <xdr:pic>
      <xdr:nvPicPr>
        <xdr:cNvPr id="75" name="Afbeelding 74">
          <a:extLst>
            <a:ext uri="{FF2B5EF4-FFF2-40B4-BE49-F238E27FC236}">
              <a16:creationId xmlns:a16="http://schemas.microsoft.com/office/drawing/2014/main" id="{8EB0D8FE-9213-4127-8886-DDC78C54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858044" y="28599493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2754087</xdr:colOff>
      <xdr:row>507</xdr:row>
      <xdr:rowOff>631372</xdr:rowOff>
    </xdr:from>
    <xdr:to>
      <xdr:col>91</xdr:col>
      <xdr:colOff>2890159</xdr:colOff>
      <xdr:row>507</xdr:row>
      <xdr:rowOff>798845</xdr:rowOff>
    </xdr:to>
    <xdr:pic>
      <xdr:nvPicPr>
        <xdr:cNvPr id="76" name="Afbeelding 75">
          <a:extLst>
            <a:ext uri="{FF2B5EF4-FFF2-40B4-BE49-F238E27FC236}">
              <a16:creationId xmlns:a16="http://schemas.microsoft.com/office/drawing/2014/main" id="{75FD7A37-BBA0-4EF8-946F-B17DDFAB4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330087" y="28139572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2171701</xdr:colOff>
      <xdr:row>507</xdr:row>
      <xdr:rowOff>1096736</xdr:rowOff>
    </xdr:from>
    <xdr:to>
      <xdr:col>91</xdr:col>
      <xdr:colOff>2307773</xdr:colOff>
      <xdr:row>507</xdr:row>
      <xdr:rowOff>1264209</xdr:rowOff>
    </xdr:to>
    <xdr:pic>
      <xdr:nvPicPr>
        <xdr:cNvPr id="77" name="Afbeelding 76">
          <a:extLst>
            <a:ext uri="{FF2B5EF4-FFF2-40B4-BE49-F238E27FC236}">
              <a16:creationId xmlns:a16="http://schemas.microsoft.com/office/drawing/2014/main" id="{32F28B42-0938-43A3-9E93-761CE6AA7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747701" y="28604936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1670959</xdr:colOff>
      <xdr:row>507</xdr:row>
      <xdr:rowOff>609600</xdr:rowOff>
    </xdr:from>
    <xdr:to>
      <xdr:col>91</xdr:col>
      <xdr:colOff>1807031</xdr:colOff>
      <xdr:row>507</xdr:row>
      <xdr:rowOff>777073</xdr:rowOff>
    </xdr:to>
    <xdr:pic>
      <xdr:nvPicPr>
        <xdr:cNvPr id="78" name="Afbeelding 77">
          <a:extLst>
            <a:ext uri="{FF2B5EF4-FFF2-40B4-BE49-F238E27FC236}">
              <a16:creationId xmlns:a16="http://schemas.microsoft.com/office/drawing/2014/main" id="{8F43EFF1-9D5F-498C-858B-5304F4441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246959" y="28117800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1170216</xdr:colOff>
      <xdr:row>507</xdr:row>
      <xdr:rowOff>1115785</xdr:rowOff>
    </xdr:from>
    <xdr:to>
      <xdr:col>91</xdr:col>
      <xdr:colOff>1306288</xdr:colOff>
      <xdr:row>507</xdr:row>
      <xdr:rowOff>1283258</xdr:rowOff>
    </xdr:to>
    <xdr:pic>
      <xdr:nvPicPr>
        <xdr:cNvPr id="79" name="Afbeelding 78">
          <a:extLst>
            <a:ext uri="{FF2B5EF4-FFF2-40B4-BE49-F238E27FC236}">
              <a16:creationId xmlns:a16="http://schemas.microsoft.com/office/drawing/2014/main" id="{25BF6CE6-6C78-4FA4-9B8B-06AF1FC2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746216" y="28623985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1673679</xdr:colOff>
      <xdr:row>512</xdr:row>
      <xdr:rowOff>598714</xdr:rowOff>
    </xdr:from>
    <xdr:to>
      <xdr:col>91</xdr:col>
      <xdr:colOff>1839516</xdr:colOff>
      <xdr:row>512</xdr:row>
      <xdr:rowOff>802822</xdr:rowOff>
    </xdr:to>
    <xdr:pic>
      <xdr:nvPicPr>
        <xdr:cNvPr id="80" name="Afbeelding 79">
          <a:extLst>
            <a:ext uri="{FF2B5EF4-FFF2-40B4-BE49-F238E27FC236}">
              <a16:creationId xmlns:a16="http://schemas.microsoft.com/office/drawing/2014/main" id="{D11C4CC3-D0D8-4FC1-884E-841010157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249679" y="37489039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3429000</xdr:colOff>
      <xdr:row>512</xdr:row>
      <xdr:rowOff>585107</xdr:rowOff>
    </xdr:from>
    <xdr:to>
      <xdr:col>91</xdr:col>
      <xdr:colOff>3594837</xdr:colOff>
      <xdr:row>512</xdr:row>
      <xdr:rowOff>789215</xdr:rowOff>
    </xdr:to>
    <xdr:pic>
      <xdr:nvPicPr>
        <xdr:cNvPr id="81" name="Afbeelding 80">
          <a:extLst>
            <a:ext uri="{FF2B5EF4-FFF2-40B4-BE49-F238E27FC236}">
              <a16:creationId xmlns:a16="http://schemas.microsoft.com/office/drawing/2014/main" id="{C79FEA79-2FC1-44DC-B7C7-8AFC8D3CC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05000" y="37475432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4016829</xdr:colOff>
      <xdr:row>512</xdr:row>
      <xdr:rowOff>1118506</xdr:rowOff>
    </xdr:from>
    <xdr:to>
      <xdr:col>91</xdr:col>
      <xdr:colOff>4182666</xdr:colOff>
      <xdr:row>512</xdr:row>
      <xdr:rowOff>1322614</xdr:rowOff>
    </xdr:to>
    <xdr:pic>
      <xdr:nvPicPr>
        <xdr:cNvPr id="82" name="Afbeelding 81">
          <a:extLst>
            <a:ext uri="{FF2B5EF4-FFF2-40B4-BE49-F238E27FC236}">
              <a16:creationId xmlns:a16="http://schemas.microsoft.com/office/drawing/2014/main" id="{1AA7EB70-485D-4F64-81B8-18DADC956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592829" y="38008831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4509407</xdr:colOff>
      <xdr:row>512</xdr:row>
      <xdr:rowOff>1107620</xdr:rowOff>
    </xdr:from>
    <xdr:to>
      <xdr:col>91</xdr:col>
      <xdr:colOff>4675244</xdr:colOff>
      <xdr:row>512</xdr:row>
      <xdr:rowOff>1311728</xdr:rowOff>
    </xdr:to>
    <xdr:pic>
      <xdr:nvPicPr>
        <xdr:cNvPr id="83" name="Afbeelding 82">
          <a:extLst>
            <a:ext uri="{FF2B5EF4-FFF2-40B4-BE49-F238E27FC236}">
              <a16:creationId xmlns:a16="http://schemas.microsoft.com/office/drawing/2014/main" id="{E897A8B9-0865-40AD-B056-4B8EEC6C6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085407" y="37997945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1028701</xdr:colOff>
      <xdr:row>512</xdr:row>
      <xdr:rowOff>1083128</xdr:rowOff>
    </xdr:from>
    <xdr:to>
      <xdr:col>91</xdr:col>
      <xdr:colOff>1194538</xdr:colOff>
      <xdr:row>512</xdr:row>
      <xdr:rowOff>1287236</xdr:rowOff>
    </xdr:to>
    <xdr:pic>
      <xdr:nvPicPr>
        <xdr:cNvPr id="84" name="Afbeelding 83">
          <a:extLst>
            <a:ext uri="{FF2B5EF4-FFF2-40B4-BE49-F238E27FC236}">
              <a16:creationId xmlns:a16="http://schemas.microsoft.com/office/drawing/2014/main" id="{4B5A55A8-485B-49F6-8142-5D8F98119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604701" y="37973453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512</xdr:row>
      <xdr:rowOff>0</xdr:rowOff>
    </xdr:from>
    <xdr:to>
      <xdr:col>92</xdr:col>
      <xdr:colOff>131221</xdr:colOff>
      <xdr:row>513</xdr:row>
      <xdr:rowOff>2</xdr:rowOff>
    </xdr:to>
    <xdr:pic>
      <xdr:nvPicPr>
        <xdr:cNvPr id="85" name="Afbeelding 84">
          <a:extLst>
            <a:ext uri="{FF2B5EF4-FFF2-40B4-BE49-F238E27FC236}">
              <a16:creationId xmlns:a16="http://schemas.microsoft.com/office/drawing/2014/main" id="{3D89A97E-CE15-45BF-A497-26022278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576000" y="36890325"/>
          <a:ext cx="5312823" cy="1876425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507</xdr:row>
      <xdr:rowOff>0</xdr:rowOff>
    </xdr:from>
    <xdr:to>
      <xdr:col>92</xdr:col>
      <xdr:colOff>1866</xdr:colOff>
      <xdr:row>508</xdr:row>
      <xdr:rowOff>9440</xdr:rowOff>
    </xdr:to>
    <xdr:pic>
      <xdr:nvPicPr>
        <xdr:cNvPr id="86" name="Afbeelding 85">
          <a:extLst>
            <a:ext uri="{FF2B5EF4-FFF2-40B4-BE49-F238E27FC236}">
              <a16:creationId xmlns:a16="http://schemas.microsoft.com/office/drawing/2014/main" id="{3799B065-912F-4244-ACBD-81274FD4F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576000" y="27508200"/>
          <a:ext cx="5181600" cy="1885867"/>
        </a:xfrm>
        <a:prstGeom prst="rect">
          <a:avLst/>
        </a:prstGeom>
      </xdr:spPr>
    </xdr:pic>
    <xdr:clientData/>
  </xdr:twoCellAnchor>
  <xdr:twoCellAnchor editAs="oneCell">
    <xdr:from>
      <xdr:col>90</xdr:col>
      <xdr:colOff>54428</xdr:colOff>
      <xdr:row>501</xdr:row>
      <xdr:rowOff>38419</xdr:rowOff>
    </xdr:from>
    <xdr:to>
      <xdr:col>90</xdr:col>
      <xdr:colOff>3032114</xdr:colOff>
      <xdr:row>501</xdr:row>
      <xdr:rowOff>1183820</xdr:rowOff>
    </xdr:to>
    <xdr:pic>
      <xdr:nvPicPr>
        <xdr:cNvPr id="90" name="Afbeelding 89">
          <a:extLst>
            <a:ext uri="{FF2B5EF4-FFF2-40B4-BE49-F238E27FC236}">
              <a16:creationId xmlns:a16="http://schemas.microsoft.com/office/drawing/2014/main" id="{D4F82ABA-93BB-4BE5-AA8E-0D3D77A1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10800000">
          <a:off x="2555847252" y="1421650272"/>
          <a:ext cx="2977686" cy="1145401"/>
        </a:xfrm>
        <a:prstGeom prst="rect">
          <a:avLst/>
        </a:prstGeom>
      </xdr:spPr>
    </xdr:pic>
    <xdr:clientData/>
  </xdr:twoCellAnchor>
  <xdr:twoCellAnchor editAs="oneCell">
    <xdr:from>
      <xdr:col>90</xdr:col>
      <xdr:colOff>190500</xdr:colOff>
      <xdr:row>500</xdr:row>
      <xdr:rowOff>65678</xdr:rowOff>
    </xdr:from>
    <xdr:to>
      <xdr:col>90</xdr:col>
      <xdr:colOff>2916589</xdr:colOff>
      <xdr:row>500</xdr:row>
      <xdr:rowOff>1131794</xdr:rowOff>
    </xdr:to>
    <xdr:pic>
      <xdr:nvPicPr>
        <xdr:cNvPr id="88" name="Afbeelding 87">
          <a:extLst>
            <a:ext uri="{FF2B5EF4-FFF2-40B4-BE49-F238E27FC236}">
              <a16:creationId xmlns:a16="http://schemas.microsoft.com/office/drawing/2014/main" id="{14D1271A-6CBC-415E-A730-7B239F6A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55983324" y="1420456090"/>
          <a:ext cx="2726089" cy="1066116"/>
        </a:xfrm>
        <a:prstGeom prst="rect">
          <a:avLst/>
        </a:prstGeom>
      </xdr:spPr>
    </xdr:pic>
    <xdr:clientData/>
  </xdr:twoCellAnchor>
  <xdr:twoCellAnchor editAs="oneCell">
    <xdr:from>
      <xdr:col>89</xdr:col>
      <xdr:colOff>224116</xdr:colOff>
      <xdr:row>499</xdr:row>
      <xdr:rowOff>0</xdr:rowOff>
    </xdr:from>
    <xdr:to>
      <xdr:col>90</xdr:col>
      <xdr:colOff>258364</xdr:colOff>
      <xdr:row>502</xdr:row>
      <xdr:rowOff>169833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0B380EC-960B-4B86-A620-1AD7C287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55411822" y="1420188705"/>
          <a:ext cx="639367" cy="2803216"/>
        </a:xfrm>
        <a:prstGeom prst="rect">
          <a:avLst/>
        </a:prstGeom>
      </xdr:spPr>
    </xdr:pic>
    <xdr:clientData/>
  </xdr:twoCellAnchor>
  <xdr:twoCellAnchor editAs="oneCell">
    <xdr:from>
      <xdr:col>90</xdr:col>
      <xdr:colOff>2857500</xdr:colOff>
      <xdr:row>499</xdr:row>
      <xdr:rowOff>112058</xdr:rowOff>
    </xdr:from>
    <xdr:to>
      <xdr:col>91</xdr:col>
      <xdr:colOff>404045</xdr:colOff>
      <xdr:row>502</xdr:row>
      <xdr:rowOff>281891</xdr:rowOff>
    </xdr:to>
    <xdr:pic>
      <xdr:nvPicPr>
        <xdr:cNvPr id="91" name="Afbeelding 90">
          <a:extLst>
            <a:ext uri="{FF2B5EF4-FFF2-40B4-BE49-F238E27FC236}">
              <a16:creationId xmlns:a16="http://schemas.microsoft.com/office/drawing/2014/main" id="{3674D1EC-C248-425B-992C-00F979A7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58650324" y="1420311970"/>
          <a:ext cx="639367" cy="2803216"/>
        </a:xfrm>
        <a:prstGeom prst="rect">
          <a:avLst/>
        </a:prstGeom>
      </xdr:spPr>
    </xdr:pic>
    <xdr:clientData/>
  </xdr:twoCellAnchor>
  <xdr:oneCellAnchor>
    <xdr:from>
      <xdr:col>91</xdr:col>
      <xdr:colOff>0</xdr:colOff>
      <xdr:row>513</xdr:row>
      <xdr:rowOff>0</xdr:rowOff>
    </xdr:from>
    <xdr:ext cx="5108033" cy="1860176"/>
    <xdr:pic>
      <xdr:nvPicPr>
        <xdr:cNvPr id="89" name="Afbeelding 88">
          <a:extLst>
            <a:ext uri="{FF2B5EF4-FFF2-40B4-BE49-F238E27FC236}">
              <a16:creationId xmlns:a16="http://schemas.microsoft.com/office/drawing/2014/main" id="{B9B05AD6-FF97-4293-BB86-C44AEA05A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9066107" y="122015250"/>
          <a:ext cx="5108033" cy="1860176"/>
        </a:xfrm>
        <a:prstGeom prst="rect">
          <a:avLst/>
        </a:prstGeom>
      </xdr:spPr>
    </xdr:pic>
    <xdr:clientData/>
  </xdr:oneCellAnchor>
  <xdr:oneCellAnchor>
    <xdr:from>
      <xdr:col>91</xdr:col>
      <xdr:colOff>1564821</xdr:colOff>
      <xdr:row>513</xdr:row>
      <xdr:rowOff>612322</xdr:rowOff>
    </xdr:from>
    <xdr:ext cx="132671" cy="163287"/>
    <xdr:pic>
      <xdr:nvPicPr>
        <xdr:cNvPr id="92" name="Afbeelding 91">
          <a:extLst>
            <a:ext uri="{FF2B5EF4-FFF2-40B4-BE49-F238E27FC236}">
              <a16:creationId xmlns:a16="http://schemas.microsoft.com/office/drawing/2014/main" id="{1C59E50D-D58D-4ABA-A360-D474D0035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630928" y="122627572"/>
          <a:ext cx="132671" cy="163287"/>
        </a:xfrm>
        <a:prstGeom prst="rect">
          <a:avLst/>
        </a:prstGeom>
      </xdr:spPr>
    </xdr:pic>
    <xdr:clientData/>
  </xdr:oneCellAnchor>
  <xdr:oneCellAnchor>
    <xdr:from>
      <xdr:col>91</xdr:col>
      <xdr:colOff>3483429</xdr:colOff>
      <xdr:row>513</xdr:row>
      <xdr:rowOff>612321</xdr:rowOff>
    </xdr:from>
    <xdr:ext cx="132671" cy="163287"/>
    <xdr:pic>
      <xdr:nvPicPr>
        <xdr:cNvPr id="93" name="Afbeelding 92">
          <a:extLst>
            <a:ext uri="{FF2B5EF4-FFF2-40B4-BE49-F238E27FC236}">
              <a16:creationId xmlns:a16="http://schemas.microsoft.com/office/drawing/2014/main" id="{32CA997E-2B6C-4873-9647-AB753688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549536" y="122627571"/>
          <a:ext cx="132671" cy="163287"/>
        </a:xfrm>
        <a:prstGeom prst="rect">
          <a:avLst/>
        </a:prstGeom>
      </xdr:spPr>
    </xdr:pic>
    <xdr:clientData/>
  </xdr:oneCellAnchor>
  <xdr:oneCellAnchor>
    <xdr:from>
      <xdr:col>91</xdr:col>
      <xdr:colOff>4041321</xdr:colOff>
      <xdr:row>513</xdr:row>
      <xdr:rowOff>1047750</xdr:rowOff>
    </xdr:from>
    <xdr:ext cx="132671" cy="163287"/>
    <xdr:pic>
      <xdr:nvPicPr>
        <xdr:cNvPr id="94" name="Afbeelding 93">
          <a:extLst>
            <a:ext uri="{FF2B5EF4-FFF2-40B4-BE49-F238E27FC236}">
              <a16:creationId xmlns:a16="http://schemas.microsoft.com/office/drawing/2014/main" id="{877217FB-7014-4C05-8E83-BDC0FB728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107428" y="123063000"/>
          <a:ext cx="132671" cy="163287"/>
        </a:xfrm>
        <a:prstGeom prst="rect">
          <a:avLst/>
        </a:prstGeom>
      </xdr:spPr>
    </xdr:pic>
    <xdr:clientData/>
  </xdr:oneCellAnchor>
  <xdr:oneCellAnchor>
    <xdr:from>
      <xdr:col>91</xdr:col>
      <xdr:colOff>1020536</xdr:colOff>
      <xdr:row>513</xdr:row>
      <xdr:rowOff>1034143</xdr:rowOff>
    </xdr:from>
    <xdr:ext cx="132671" cy="163287"/>
    <xdr:pic>
      <xdr:nvPicPr>
        <xdr:cNvPr id="95" name="Afbeelding 94">
          <a:extLst>
            <a:ext uri="{FF2B5EF4-FFF2-40B4-BE49-F238E27FC236}">
              <a16:creationId xmlns:a16="http://schemas.microsoft.com/office/drawing/2014/main" id="{54AA21E1-D304-4BE7-BBE6-B62323F29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86643" y="123049393"/>
          <a:ext cx="132671" cy="163287"/>
        </a:xfrm>
        <a:prstGeom prst="rect">
          <a:avLst/>
        </a:prstGeom>
      </xdr:spPr>
    </xdr:pic>
    <xdr:clientData/>
  </xdr:oneCellAnchor>
  <xdr:oneCellAnchor>
    <xdr:from>
      <xdr:col>91</xdr:col>
      <xdr:colOff>123263</xdr:colOff>
      <xdr:row>513</xdr:row>
      <xdr:rowOff>1680882</xdr:rowOff>
    </xdr:from>
    <xdr:ext cx="4941795" cy="368650"/>
    <xdr:pic>
      <xdr:nvPicPr>
        <xdr:cNvPr id="96" name="Afbeelding 95">
          <a:extLst>
            <a:ext uri="{FF2B5EF4-FFF2-40B4-BE49-F238E27FC236}">
              <a16:creationId xmlns:a16="http://schemas.microsoft.com/office/drawing/2014/main" id="{01A6BFCF-AE7C-441C-9819-A119E810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189370" y="119940561"/>
          <a:ext cx="4941795" cy="368650"/>
        </a:xfrm>
        <a:prstGeom prst="rect">
          <a:avLst/>
        </a:prstGeom>
      </xdr:spPr>
    </xdr:pic>
    <xdr:clientData/>
  </xdr:oneCellAnchor>
  <xdr:oneCellAnchor>
    <xdr:from>
      <xdr:col>91</xdr:col>
      <xdr:colOff>4022912</xdr:colOff>
      <xdr:row>513</xdr:row>
      <xdr:rowOff>1019735</xdr:rowOff>
    </xdr:from>
    <xdr:ext cx="154781" cy="190500"/>
    <xdr:pic>
      <xdr:nvPicPr>
        <xdr:cNvPr id="98" name="Afbeelding 97">
          <a:extLst>
            <a:ext uri="{FF2B5EF4-FFF2-40B4-BE49-F238E27FC236}">
              <a16:creationId xmlns:a16="http://schemas.microsoft.com/office/drawing/2014/main" id="{59F1A45D-4767-4C8A-8868-4889ADEAC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089019" y="123034985"/>
          <a:ext cx="154781" cy="190500"/>
        </a:xfrm>
        <a:prstGeom prst="rect">
          <a:avLst/>
        </a:prstGeom>
      </xdr:spPr>
    </xdr:pic>
    <xdr:clientData/>
  </xdr:oneCellAnchor>
  <xdr:twoCellAnchor editAs="oneCell">
    <xdr:from>
      <xdr:col>91</xdr:col>
      <xdr:colOff>0</xdr:colOff>
      <xdr:row>515</xdr:row>
      <xdr:rowOff>0</xdr:rowOff>
    </xdr:from>
    <xdr:to>
      <xdr:col>91</xdr:col>
      <xdr:colOff>5170714</xdr:colOff>
      <xdr:row>515</xdr:row>
      <xdr:rowOff>1823617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B4F79E4D-7744-484A-B215-E61F6D05A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066107" y="122015250"/>
          <a:ext cx="5170714" cy="1823617"/>
        </a:xfrm>
        <a:prstGeom prst="rect">
          <a:avLst/>
        </a:prstGeom>
      </xdr:spPr>
    </xdr:pic>
    <xdr:clientData/>
  </xdr:twoCellAnchor>
  <xdr:oneCellAnchor>
    <xdr:from>
      <xdr:col>91</xdr:col>
      <xdr:colOff>123263</xdr:colOff>
      <xdr:row>515</xdr:row>
      <xdr:rowOff>1680882</xdr:rowOff>
    </xdr:from>
    <xdr:ext cx="4941795" cy="368650"/>
    <xdr:pic>
      <xdr:nvPicPr>
        <xdr:cNvPr id="51" name="Afbeelding 50">
          <a:extLst>
            <a:ext uri="{FF2B5EF4-FFF2-40B4-BE49-F238E27FC236}">
              <a16:creationId xmlns:a16="http://schemas.microsoft.com/office/drawing/2014/main" id="{23AB5E2D-AF77-4B6F-8B5D-2EDCBE8B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8884410" y="119779676"/>
          <a:ext cx="4941795" cy="368650"/>
        </a:xfrm>
        <a:prstGeom prst="rect">
          <a:avLst/>
        </a:prstGeom>
      </xdr:spPr>
    </xdr:pic>
    <xdr:clientData/>
  </xdr:oneCellAnchor>
  <xdr:twoCellAnchor editAs="oneCell">
    <xdr:from>
      <xdr:col>91</xdr:col>
      <xdr:colOff>33618</xdr:colOff>
      <xdr:row>516</xdr:row>
      <xdr:rowOff>156885</xdr:rowOff>
    </xdr:from>
    <xdr:to>
      <xdr:col>91</xdr:col>
      <xdr:colOff>5098677</xdr:colOff>
      <xdr:row>516</xdr:row>
      <xdr:rowOff>1686270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40F47A12-61A8-E3BF-F720-E77740DE8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794765" y="123869826"/>
          <a:ext cx="5065059" cy="1529385"/>
        </a:xfrm>
        <a:prstGeom prst="rect">
          <a:avLst/>
        </a:prstGeom>
      </xdr:spPr>
    </xdr:pic>
    <xdr:clientData/>
  </xdr:twoCellAnchor>
  <xdr:twoCellAnchor editAs="oneCell">
    <xdr:from>
      <xdr:col>91</xdr:col>
      <xdr:colOff>44824</xdr:colOff>
      <xdr:row>517</xdr:row>
      <xdr:rowOff>145679</xdr:rowOff>
    </xdr:from>
    <xdr:to>
      <xdr:col>91</xdr:col>
      <xdr:colOff>5109883</xdr:colOff>
      <xdr:row>517</xdr:row>
      <xdr:rowOff>1659019</xdr:rowOff>
    </xdr:to>
    <xdr:pic>
      <xdr:nvPicPr>
        <xdr:cNvPr id="87" name="Afbeelding 86">
          <a:extLst>
            <a:ext uri="{FF2B5EF4-FFF2-40B4-BE49-F238E27FC236}">
              <a16:creationId xmlns:a16="http://schemas.microsoft.com/office/drawing/2014/main" id="{2743F26C-D763-72DF-2960-D8E93BCFE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8805971" y="125730003"/>
          <a:ext cx="5065059" cy="151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61C6-8AD5-46EA-9E99-03427D2E940F}">
  <sheetPr codeName="Blad1">
    <tabColor rgb="FFA05599"/>
    <pageSetUpPr fitToPage="1"/>
  </sheetPr>
  <dimension ref="A1:HY519"/>
  <sheetViews>
    <sheetView tabSelected="1" zoomScale="85" zoomScaleNormal="85" workbookViewId="0">
      <selection activeCell="E17" sqref="E17:I18"/>
    </sheetView>
  </sheetViews>
  <sheetFormatPr defaultRowHeight="15" x14ac:dyDescent="0.25"/>
  <cols>
    <col min="1" max="1" width="5.140625" style="4" customWidth="1"/>
    <col min="2" max="2" width="4.42578125" style="4" customWidth="1"/>
    <col min="3" max="3" width="3.42578125" style="4" customWidth="1"/>
    <col min="4" max="4" width="6.5703125" style="4" customWidth="1"/>
    <col min="5" max="5" width="3.7109375" style="4" customWidth="1"/>
    <col min="6" max="9" width="4.28515625" style="4" customWidth="1"/>
    <col min="10" max="11" width="4.42578125" style="4" customWidth="1"/>
    <col min="12" max="12" width="4.28515625" style="4" customWidth="1"/>
    <col min="13" max="14" width="4.140625" style="4" customWidth="1"/>
    <col min="15" max="16" width="4.28515625" style="4" customWidth="1"/>
    <col min="17" max="18" width="4.140625" style="4" customWidth="1"/>
    <col min="19" max="20" width="4.28515625" style="4" customWidth="1"/>
    <col min="21" max="22" width="4.140625" style="4" customWidth="1"/>
    <col min="23" max="29" width="4.28515625" style="4" customWidth="1"/>
    <col min="30" max="30" width="4.140625" style="4" customWidth="1"/>
    <col min="31" max="31" width="4.7109375" style="4" customWidth="1"/>
    <col min="32" max="51" width="4.42578125" style="4" customWidth="1"/>
    <col min="52" max="52" width="4.42578125" style="76" customWidth="1"/>
    <col min="53" max="60" width="4.42578125" style="4" customWidth="1"/>
    <col min="61" max="90" width="9.140625" style="4"/>
    <col min="91" max="91" width="46.42578125" style="4" customWidth="1"/>
    <col min="92" max="92" width="77.7109375" style="4" customWidth="1"/>
    <col min="93" max="93" width="17.140625" style="4" bestFit="1" customWidth="1"/>
    <col min="94" max="94" width="4.5703125" style="4" customWidth="1"/>
    <col min="95" max="95" width="6" style="4" customWidth="1"/>
    <col min="96" max="96" width="5.42578125" style="4" customWidth="1"/>
    <col min="97" max="97" width="6.85546875" style="4" customWidth="1"/>
    <col min="98" max="16384" width="9.140625" style="4"/>
  </cols>
  <sheetData>
    <row r="1" spans="1:191" s="77" customFormat="1" ht="15.75" thickBot="1" x14ac:dyDescent="0.3">
      <c r="AZ1" s="78"/>
    </row>
    <row r="2" spans="1:191" s="77" customFormat="1" x14ac:dyDescent="0.25">
      <c r="U2" s="79"/>
      <c r="V2" s="80"/>
      <c r="W2" s="80"/>
      <c r="X2" s="80"/>
      <c r="Y2" s="81"/>
      <c r="Z2" s="80"/>
      <c r="AA2" s="81"/>
      <c r="AB2" s="81"/>
      <c r="AC2" s="80"/>
      <c r="AD2" s="82"/>
      <c r="AZ2" s="78"/>
    </row>
    <row r="3" spans="1:191" s="77" customFormat="1" ht="15" customHeight="1" x14ac:dyDescent="0.25">
      <c r="U3" s="172" t="str">
        <f>IF($AB$3="","","Number of hooks")</f>
        <v>Number of hooks</v>
      </c>
      <c r="V3" s="173"/>
      <c r="W3" s="173"/>
      <c r="X3" s="173"/>
      <c r="Y3" s="222" t="str">
        <f>IF($E$80=1,"",IF($E$21=$A$94,C102,IF($J$77=0,C102,IF($J$77=1,C103,IF($J$77=2,C105,IF($J$77=3,C107,""))))))</f>
        <v xml:space="preserve"> </v>
      </c>
      <c r="Z3" s="222"/>
      <c r="AA3" s="222"/>
      <c r="AB3" s="222">
        <f>IF($E$80=0,I59,"")</f>
        <v>14</v>
      </c>
      <c r="AC3" s="222"/>
      <c r="AD3" s="83"/>
      <c r="AF3" s="84"/>
      <c r="AZ3" s="78"/>
    </row>
    <row r="4" spans="1:191" s="77" customFormat="1" x14ac:dyDescent="0.25">
      <c r="U4" s="221" t="str">
        <f>IF($AB$3="",""," in curtain needed")</f>
        <v xml:space="preserve"> in curtain needed</v>
      </c>
      <c r="V4" s="222"/>
      <c r="W4" s="222"/>
      <c r="X4" s="222"/>
      <c r="Y4" s="222" t="str">
        <f>IF($E$80=1,"",IF($E$21=$A$94,"",IF($J$77=0,"",IF($J$77=1,C104,IF($J$77=2,C106,IF($J$77=3,C108,""))))))</f>
        <v/>
      </c>
      <c r="Z4" s="222"/>
      <c r="AA4" s="222"/>
      <c r="AB4" s="222" t="str">
        <f>IF($E$21=$A$95,IF($E$80=0,I60,""),"")</f>
        <v/>
      </c>
      <c r="AC4" s="222"/>
      <c r="AD4" s="83"/>
      <c r="AZ4" s="78"/>
      <c r="GI4" s="85"/>
    </row>
    <row r="5" spans="1:191" s="77" customFormat="1" ht="15" customHeight="1" x14ac:dyDescent="0.25">
      <c r="B5" s="86"/>
      <c r="C5" s="86"/>
      <c r="D5" s="86"/>
      <c r="E5" s="86"/>
      <c r="F5" s="86"/>
      <c r="G5" s="86"/>
      <c r="H5" s="86"/>
      <c r="I5" s="86"/>
      <c r="U5" s="87"/>
      <c r="V5" s="88"/>
      <c r="W5" s="88"/>
      <c r="X5" s="88"/>
      <c r="Y5" s="113"/>
      <c r="Z5" s="113"/>
      <c r="AA5" s="113"/>
      <c r="AB5" s="89"/>
      <c r="AC5" s="88"/>
      <c r="AD5" s="83"/>
      <c r="AZ5" s="78"/>
    </row>
    <row r="6" spans="1:191" s="77" customFormat="1" ht="15" customHeight="1" x14ac:dyDescent="0.25">
      <c r="E6" s="223" t="s">
        <v>39</v>
      </c>
      <c r="F6" s="223"/>
      <c r="G6" s="223"/>
      <c r="H6" s="223"/>
      <c r="I6" s="223"/>
      <c r="J6" s="223"/>
      <c r="K6" s="223"/>
      <c r="L6" s="223"/>
      <c r="M6" s="223"/>
      <c r="N6" s="223"/>
      <c r="U6" s="87"/>
      <c r="Y6" s="86"/>
      <c r="Z6" s="86"/>
      <c r="AA6" s="86"/>
      <c r="AB6" s="111"/>
      <c r="AD6" s="83"/>
      <c r="AE6" s="90" t="str">
        <f>IF(E80=1,"",IF($G$47=0,"","1 Roll = "&amp;C52&amp;" carriers"))</f>
        <v/>
      </c>
      <c r="AG6" s="111"/>
      <c r="AH6" s="111"/>
      <c r="AZ6" s="78"/>
    </row>
    <row r="7" spans="1:191" s="77" customFormat="1" ht="15" customHeight="1" x14ac:dyDescent="0.25"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91"/>
      <c r="U7" s="221" t="str">
        <f>IF($AB$3="","","Number of")</f>
        <v>Number of</v>
      </c>
      <c r="V7" s="222"/>
      <c r="W7" s="222"/>
      <c r="X7" s="222"/>
      <c r="Y7" s="222" t="str">
        <f>IF(Y3 ="","",Y3)</f>
        <v xml:space="preserve"> </v>
      </c>
      <c r="Z7" s="222"/>
      <c r="AA7" s="222"/>
      <c r="AB7" s="222">
        <f>IF($E$80=0,I57,"")</f>
        <v>14</v>
      </c>
      <c r="AC7" s="222"/>
      <c r="AD7" s="83"/>
      <c r="AE7" s="160" t="str">
        <f>IF(E80=1,"",IF($G$47=0,"",AB7/$C$52))</f>
        <v/>
      </c>
      <c r="AF7" s="161"/>
      <c r="AG7" s="187" t="str">
        <f>IF(AE7="","","Roll")</f>
        <v/>
      </c>
      <c r="AH7" s="187"/>
      <c r="AZ7" s="78"/>
    </row>
    <row r="8" spans="1:191" s="77" customFormat="1" ht="15" customHeight="1" x14ac:dyDescent="0.25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91"/>
      <c r="U8" s="221" t="str">
        <f>IF($AB$3="","","carriers needed**")</f>
        <v>carriers needed**</v>
      </c>
      <c r="V8" s="222"/>
      <c r="W8" s="222"/>
      <c r="X8" s="222"/>
      <c r="Y8" s="222" t="str">
        <f>IF(Y4 ="","",Y4)</f>
        <v/>
      </c>
      <c r="Z8" s="222"/>
      <c r="AA8" s="222"/>
      <c r="AB8" s="222" t="str">
        <f>IF($E$21=$A$95,IF($E$80=0,IF(G46=0,I58,I58),""),"")</f>
        <v/>
      </c>
      <c r="AC8" s="222"/>
      <c r="AD8" s="83"/>
      <c r="AE8" s="160" t="str">
        <f>IF(AB8="","",IF($G$47=0,"",AB8/$C$52))</f>
        <v/>
      </c>
      <c r="AF8" s="161"/>
      <c r="AG8" s="187" t="str">
        <f>IF(AE8="","","Roll")</f>
        <v/>
      </c>
      <c r="AH8" s="187"/>
      <c r="AZ8" s="78"/>
    </row>
    <row r="9" spans="1:191" s="77" customFormat="1" ht="15" customHeight="1" x14ac:dyDescent="0.25"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91"/>
      <c r="U9" s="87"/>
      <c r="V9" s="88"/>
      <c r="W9" s="88"/>
      <c r="X9" s="88"/>
      <c r="Y9" s="113"/>
      <c r="Z9" s="113"/>
      <c r="AA9" s="113"/>
      <c r="AB9" s="88"/>
      <c r="AC9" s="88"/>
      <c r="AD9" s="83"/>
      <c r="AE9" s="160" t="str">
        <f>IF(AE8="","",AE7+AE8)</f>
        <v/>
      </c>
      <c r="AF9" s="161"/>
      <c r="AG9" s="187" t="str">
        <f>IF(AE8="","","Total")</f>
        <v/>
      </c>
      <c r="AH9" s="187"/>
      <c r="AZ9" s="78"/>
    </row>
    <row r="10" spans="1:191" s="77" customFormat="1" x14ac:dyDescent="0.25">
      <c r="U10" s="87"/>
      <c r="Y10" s="86"/>
      <c r="Z10" s="86"/>
      <c r="AA10" s="86"/>
      <c r="AD10" s="83"/>
      <c r="AG10" s="111"/>
      <c r="AH10" s="111"/>
      <c r="AZ10" s="78"/>
    </row>
    <row r="11" spans="1:191" s="77" customFormat="1" x14ac:dyDescent="0.25">
      <c r="U11" s="221" t="str">
        <f>IF($AB$3="","","Curtain stacking")</f>
        <v>Curtain stacking</v>
      </c>
      <c r="V11" s="222"/>
      <c r="W11" s="222"/>
      <c r="X11" s="222"/>
      <c r="Y11" s="222" t="str">
        <f>IF(Y3="","",Y3)</f>
        <v xml:space="preserve"> </v>
      </c>
      <c r="Z11" s="222"/>
      <c r="AA11" s="222"/>
      <c r="AB11" s="164">
        <f>IF($E$80=0,CEILING($I$73,1),"")</f>
        <v>25</v>
      </c>
      <c r="AC11" s="164"/>
      <c r="AD11" s="92" t="str">
        <f>IF(AB11="","","cm")</f>
        <v>cm</v>
      </c>
      <c r="AG11" s="111"/>
      <c r="AH11" s="111"/>
      <c r="AZ11" s="78"/>
    </row>
    <row r="12" spans="1:191" s="77" customFormat="1" ht="15.75" thickBot="1" x14ac:dyDescent="0.3">
      <c r="A12" s="111" t="s">
        <v>130</v>
      </c>
      <c r="U12" s="221" t="str">
        <f>IF($AB$3="","","in open position")</f>
        <v>in open position</v>
      </c>
      <c r="V12" s="222"/>
      <c r="W12" s="222"/>
      <c r="X12" s="222"/>
      <c r="Y12" s="222" t="str">
        <f>IF(Y4 ="","",Y4)</f>
        <v/>
      </c>
      <c r="Z12" s="222"/>
      <c r="AA12" s="222"/>
      <c r="AB12" s="164" t="str">
        <f>IF($E$21=$A$95,IF($E$80=0,IF(G46=1,CEILING(I73,1),CEILING(I74,1)),""),"")</f>
        <v/>
      </c>
      <c r="AC12" s="164"/>
      <c r="AD12" s="92" t="str">
        <f>IF(AB12="","","cm")</f>
        <v/>
      </c>
      <c r="AG12" s="111"/>
      <c r="AH12" s="111"/>
      <c r="AZ12" s="78"/>
    </row>
    <row r="13" spans="1:191" s="77" customFormat="1" x14ac:dyDescent="0.25">
      <c r="A13" s="224" t="s">
        <v>59</v>
      </c>
      <c r="B13" s="225"/>
      <c r="C13" s="225"/>
      <c r="D13" s="225"/>
      <c r="E13" s="245" t="s">
        <v>1</v>
      </c>
      <c r="F13" s="246"/>
      <c r="G13" s="246"/>
      <c r="H13" s="246"/>
      <c r="I13" s="247"/>
      <c r="U13" s="221" t="str">
        <f>IF($AB$3="","","(minimal)")</f>
        <v>(minimal)</v>
      </c>
      <c r="V13" s="222"/>
      <c r="W13" s="222"/>
      <c r="X13" s="222"/>
      <c r="Y13" s="86"/>
      <c r="Z13" s="86"/>
      <c r="AA13" s="86"/>
      <c r="AC13" s="93"/>
      <c r="AD13" s="92"/>
      <c r="AG13" s="111"/>
      <c r="AH13" s="111"/>
      <c r="AZ13" s="78"/>
    </row>
    <row r="14" spans="1:191" s="77" customFormat="1" x14ac:dyDescent="0.25">
      <c r="A14" s="226" t="s">
        <v>36</v>
      </c>
      <c r="B14" s="227"/>
      <c r="C14" s="227"/>
      <c r="D14" s="227"/>
      <c r="E14" s="129"/>
      <c r="F14" s="130"/>
      <c r="G14" s="130"/>
      <c r="H14" s="130"/>
      <c r="I14" s="131"/>
      <c r="U14" s="87"/>
      <c r="V14" s="95"/>
      <c r="W14" s="95"/>
      <c r="X14" s="95"/>
      <c r="Y14" s="115"/>
      <c r="Z14" s="115"/>
      <c r="AA14" s="115"/>
      <c r="AB14" s="95"/>
      <c r="AC14" s="95"/>
      <c r="AD14" s="92"/>
      <c r="AE14" s="90" t="str">
        <f>IF(AB15="","",IF(E80=1,"",IF($G$47=0,"","1 Roll = "&amp;C51/100&amp;" meter")))</f>
        <v/>
      </c>
      <c r="AG14" s="111"/>
      <c r="AH14" s="111"/>
      <c r="AZ14" s="78"/>
    </row>
    <row r="15" spans="1:191" s="77" customFormat="1" x14ac:dyDescent="0.25">
      <c r="A15" s="228" t="s">
        <v>50</v>
      </c>
      <c r="B15" s="229"/>
      <c r="C15" s="229"/>
      <c r="D15" s="229"/>
      <c r="E15" s="126" t="s">
        <v>3</v>
      </c>
      <c r="F15" s="127"/>
      <c r="G15" s="127"/>
      <c r="H15" s="127"/>
      <c r="I15" s="128"/>
      <c r="U15" s="221" t="str">
        <f>IF($AB$15="","",IF($E$80=0,"Total tape length",""))</f>
        <v>Total tape length</v>
      </c>
      <c r="V15" s="222"/>
      <c r="W15" s="222"/>
      <c r="X15" s="222"/>
      <c r="Y15" s="222" t="str">
        <f>IF(E80=1,"",IF(E83=1,"",Y3))</f>
        <v xml:space="preserve"> </v>
      </c>
      <c r="Z15" s="222"/>
      <c r="AA15" s="222"/>
      <c r="AB15" s="164" t="str">
        <f>IF($E$80=1,"",IF($E$83=1,"","± "&amp;$D$53))</f>
        <v>± 224</v>
      </c>
      <c r="AC15" s="164"/>
      <c r="AD15" s="92" t="str">
        <f>IF(AB15="","","cm")</f>
        <v>cm</v>
      </c>
      <c r="AE15" s="162" t="str">
        <f>IF(AB15="","",IF(E80=1,"",IF($G$47=0,"",D53/$C$51)))</f>
        <v/>
      </c>
      <c r="AF15" s="163"/>
      <c r="AG15" s="187" t="str">
        <f>IF(AE15="","","Roll")</f>
        <v/>
      </c>
      <c r="AH15" s="187"/>
      <c r="AZ15" s="78"/>
    </row>
    <row r="16" spans="1:191" s="77" customFormat="1" ht="15.75" customHeight="1" x14ac:dyDescent="0.25">
      <c r="A16" s="230"/>
      <c r="B16" s="231"/>
      <c r="C16" s="231"/>
      <c r="D16" s="231"/>
      <c r="E16" s="129"/>
      <c r="F16" s="130"/>
      <c r="G16" s="130"/>
      <c r="H16" s="130"/>
      <c r="I16" s="131"/>
      <c r="U16" s="221" t="str">
        <f>IF($AB$15="","",IF($E$80=0,"required",""))</f>
        <v>required</v>
      </c>
      <c r="V16" s="222"/>
      <c r="W16" s="222"/>
      <c r="X16" s="222"/>
      <c r="Y16" s="222" t="str">
        <f>IF(Y15="","",IF(E21=A94,"",Y4))</f>
        <v/>
      </c>
      <c r="Z16" s="222"/>
      <c r="AA16" s="222"/>
      <c r="AB16" s="164" t="str">
        <f>IF($E$80=1,"",IF($E$83=1,"",IF($E$21=$A$94,"","± "&amp;$D$54)))</f>
        <v/>
      </c>
      <c r="AC16" s="164"/>
      <c r="AD16" s="92" t="str">
        <f>IF(AB16="","","cm")</f>
        <v/>
      </c>
      <c r="AE16" s="162" t="str">
        <f>IF(AB16="","",IF($G$47=0,"",D54/$C$51))</f>
        <v/>
      </c>
      <c r="AF16" s="163"/>
      <c r="AG16" s="187" t="str">
        <f>IF(AE16="","","Roll")</f>
        <v/>
      </c>
      <c r="AH16" s="187"/>
      <c r="AZ16" s="78"/>
    </row>
    <row r="17" spans="1:54" s="77" customFormat="1" ht="15.75" customHeight="1" x14ac:dyDescent="0.25">
      <c r="A17" s="241" t="s">
        <v>51</v>
      </c>
      <c r="B17" s="242"/>
      <c r="C17" s="242"/>
      <c r="D17" s="242"/>
      <c r="E17" s="126">
        <v>100</v>
      </c>
      <c r="F17" s="127"/>
      <c r="G17" s="127"/>
      <c r="H17" s="127"/>
      <c r="I17" s="128"/>
      <c r="J17" s="243" t="str">
        <f>IF(E17="","",IF(A1=1,"Value is too high",IF(C82=1,"Value is too low","")))</f>
        <v/>
      </c>
      <c r="K17" s="243"/>
      <c r="L17" s="243"/>
      <c r="M17" s="243"/>
      <c r="N17" s="243"/>
      <c r="O17" s="243"/>
      <c r="P17" s="243"/>
      <c r="Q17" s="243"/>
      <c r="R17" s="243"/>
      <c r="S17" s="243"/>
      <c r="T17" s="244"/>
      <c r="U17" s="87"/>
      <c r="AB17" s="93"/>
      <c r="AC17" s="93"/>
      <c r="AD17" s="92" t="str">
        <f>IF(AB17="","","cm")</f>
        <v/>
      </c>
      <c r="AE17" s="162" t="str">
        <f>IF(AE16="","",AE15+AE16)</f>
        <v/>
      </c>
      <c r="AF17" s="163"/>
      <c r="AG17" s="187" t="str">
        <f>IF(AE16="","","Total")</f>
        <v/>
      </c>
      <c r="AH17" s="187"/>
      <c r="AL17" s="96"/>
      <c r="AZ17" s="78"/>
    </row>
    <row r="18" spans="1:54" s="77" customFormat="1" ht="15" customHeight="1" x14ac:dyDescent="0.25">
      <c r="A18" s="230"/>
      <c r="B18" s="231"/>
      <c r="C18" s="231"/>
      <c r="D18" s="231"/>
      <c r="E18" s="129"/>
      <c r="F18" s="130"/>
      <c r="G18" s="130"/>
      <c r="H18" s="130"/>
      <c r="I18" s="131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4"/>
      <c r="U18" s="87"/>
      <c r="AB18" s="93"/>
      <c r="AC18" s="93"/>
      <c r="AD18" s="92" t="str">
        <f>IF(AB18="","","cm")</f>
        <v/>
      </c>
      <c r="AG18" s="111"/>
      <c r="AH18" s="111"/>
      <c r="AZ18" s="78"/>
    </row>
    <row r="19" spans="1:54" s="77" customFormat="1" ht="15" customHeight="1" x14ac:dyDescent="0.25">
      <c r="A19" s="237" t="s">
        <v>109</v>
      </c>
      <c r="B19" s="238"/>
      <c r="C19" s="238"/>
      <c r="D19" s="238"/>
      <c r="E19" s="120" t="s">
        <v>43</v>
      </c>
      <c r="F19" s="121"/>
      <c r="G19" s="121"/>
      <c r="H19" s="121"/>
      <c r="I19" s="122"/>
      <c r="U19" s="221" t="str">
        <f>IF($AB$15="","",IF($E$80=0,"Curtain fullness",""))</f>
        <v>Curtain fullness</v>
      </c>
      <c r="V19" s="222"/>
      <c r="W19" s="222"/>
      <c r="X19" s="222"/>
      <c r="Y19" s="222" t="str">
        <f>IF(Y15="","",Y3)</f>
        <v xml:space="preserve"> </v>
      </c>
      <c r="Z19" s="222"/>
      <c r="AA19" s="222"/>
      <c r="AB19" s="254">
        <f>IF(AB15="","",IF(E21=A94,D53/E17*100,D53/(E17/2)*100))</f>
        <v>224.00000000000003</v>
      </c>
      <c r="AC19" s="254"/>
      <c r="AD19" s="92" t="str">
        <f>IF(AB19="","","%")</f>
        <v>%</v>
      </c>
      <c r="AZ19" s="78"/>
    </row>
    <row r="20" spans="1:54" s="77" customFormat="1" ht="15" customHeight="1" x14ac:dyDescent="0.25">
      <c r="A20" s="239" t="s">
        <v>34</v>
      </c>
      <c r="B20" s="240"/>
      <c r="C20" s="240"/>
      <c r="D20" s="240"/>
      <c r="E20" s="123"/>
      <c r="F20" s="124"/>
      <c r="G20" s="124"/>
      <c r="H20" s="124"/>
      <c r="I20" s="125"/>
      <c r="U20" s="87"/>
      <c r="Y20" s="222" t="str">
        <f>IF(Y16="","",Y4)</f>
        <v/>
      </c>
      <c r="Z20" s="222"/>
      <c r="AA20" s="222"/>
      <c r="AB20" s="254" t="str">
        <f>IF(AB16="","",IF(E21=A94,D53/E17*100,D53/(E17/2)*100))</f>
        <v/>
      </c>
      <c r="AC20" s="254"/>
      <c r="AD20" s="92" t="str">
        <f>IF(AB20="","","%")</f>
        <v/>
      </c>
      <c r="AR20" s="97"/>
      <c r="AS20" s="84"/>
      <c r="AT20" s="78"/>
      <c r="AZ20" s="78"/>
    </row>
    <row r="21" spans="1:54" s="77" customFormat="1" ht="15" customHeight="1" x14ac:dyDescent="0.25">
      <c r="A21" s="255" t="s">
        <v>52</v>
      </c>
      <c r="B21" s="256"/>
      <c r="C21" s="256"/>
      <c r="D21" s="256"/>
      <c r="E21" s="126" t="s">
        <v>54</v>
      </c>
      <c r="F21" s="127"/>
      <c r="G21" s="127"/>
      <c r="H21" s="127"/>
      <c r="I21" s="128"/>
      <c r="U21" s="87"/>
      <c r="AD21" s="92"/>
      <c r="AR21" s="97"/>
      <c r="AS21" s="84"/>
      <c r="AT21" s="78"/>
      <c r="AZ21" s="78"/>
      <c r="BA21" s="98"/>
      <c r="BB21" s="98"/>
    </row>
    <row r="22" spans="1:54" s="77" customFormat="1" ht="15" customHeight="1" x14ac:dyDescent="0.25">
      <c r="A22" s="259" t="s">
        <v>53</v>
      </c>
      <c r="B22" s="260"/>
      <c r="C22" s="260"/>
      <c r="D22" s="260"/>
      <c r="E22" s="129"/>
      <c r="F22" s="130"/>
      <c r="G22" s="130"/>
      <c r="H22" s="130"/>
      <c r="I22" s="131"/>
      <c r="U22" s="87"/>
      <c r="AD22" s="92"/>
      <c r="AZ22" s="78"/>
    </row>
    <row r="23" spans="1:54" s="77" customFormat="1" ht="15" customHeight="1" x14ac:dyDescent="0.25">
      <c r="A23" s="235" t="s">
        <v>140</v>
      </c>
      <c r="B23" s="236"/>
      <c r="C23" s="236"/>
      <c r="D23" s="236"/>
      <c r="E23" s="126">
        <v>10</v>
      </c>
      <c r="F23" s="127"/>
      <c r="G23" s="127"/>
      <c r="H23" s="127"/>
      <c r="I23" s="128"/>
      <c r="J23" s="243" t="str">
        <f>IF(E23="","",IF(B83=1,"Value is too high",IF(C83=1,"Value is too low","")))</f>
        <v/>
      </c>
      <c r="K23" s="243"/>
      <c r="L23" s="243"/>
      <c r="M23" s="243"/>
      <c r="N23" s="243"/>
      <c r="O23" s="243"/>
      <c r="P23" s="243"/>
      <c r="Q23" s="243"/>
      <c r="R23" s="243"/>
      <c r="S23" s="243"/>
      <c r="T23" s="244"/>
      <c r="U23" s="261" t="str">
        <f>IF($AB$15="","",IF($E$80=0,"Total depth of the curtain:",""))</f>
        <v>Total depth of the curtain:</v>
      </c>
      <c r="V23" s="262"/>
      <c r="W23" s="262"/>
      <c r="X23" s="262"/>
      <c r="Y23" s="262"/>
      <c r="Z23" s="262"/>
      <c r="AC23" s="99"/>
      <c r="AD23" s="100"/>
      <c r="AZ23" s="78"/>
    </row>
    <row r="24" spans="1:54" s="77" customFormat="1" ht="15" customHeight="1" x14ac:dyDescent="0.25">
      <c r="A24" s="233" t="str">
        <f>"  ("&amp;D96&amp;" only)     ="</f>
        <v xml:space="preserve">  (FMS Dual only)     =</v>
      </c>
      <c r="B24" s="234"/>
      <c r="C24" s="234"/>
      <c r="D24" s="234"/>
      <c r="E24" s="129"/>
      <c r="F24" s="130"/>
      <c r="G24" s="130"/>
      <c r="H24" s="130"/>
      <c r="I24" s="131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4"/>
      <c r="U24" s="116" t="str">
        <f>IF(V24="","","-")</f>
        <v>-</v>
      </c>
      <c r="V24" s="187" t="str">
        <f>IF($AB$15="","",IF($E$80=0,"In closed position",""))</f>
        <v>In closed position</v>
      </c>
      <c r="W24" s="187"/>
      <c r="X24" s="187"/>
      <c r="Y24" s="187"/>
      <c r="Z24" s="187"/>
      <c r="AB24" s="188" t="str">
        <f>IF(AB19="","","± "&amp;M98)</f>
        <v>± 13</v>
      </c>
      <c r="AC24" s="188"/>
      <c r="AD24" s="100" t="str">
        <f>IF(AB24="","","cm")</f>
        <v>cm</v>
      </c>
      <c r="AZ24" s="78"/>
    </row>
    <row r="25" spans="1:54" s="77" customFormat="1" ht="15" customHeight="1" x14ac:dyDescent="0.25">
      <c r="A25" s="172" t="s">
        <v>92</v>
      </c>
      <c r="B25" s="173"/>
      <c r="C25" s="173"/>
      <c r="D25" s="173"/>
      <c r="E25" s="132">
        <v>16</v>
      </c>
      <c r="F25" s="133"/>
      <c r="G25" s="133"/>
      <c r="H25" s="133"/>
      <c r="I25" s="134"/>
      <c r="J25" s="101"/>
      <c r="U25" s="116" t="str">
        <f>IF(V25="","","-")</f>
        <v>-</v>
      </c>
      <c r="V25" s="187" t="str">
        <f>IF($AB$15="","",IF($E$80=0,"With open position",""))</f>
        <v>With open position</v>
      </c>
      <c r="W25" s="187"/>
      <c r="X25" s="187"/>
      <c r="Y25" s="187"/>
      <c r="Z25" s="187"/>
      <c r="AB25" s="188" t="str">
        <f>IF(E83=1,"",IF(P98=0,"± "&amp;0,IF(AB19="","","± "&amp;P98)))</f>
        <v>± 16</v>
      </c>
      <c r="AC25" s="188"/>
      <c r="AD25" s="100" t="str">
        <f>IF(AB25="","","cm")</f>
        <v>cm</v>
      </c>
      <c r="AZ25" s="78"/>
    </row>
    <row r="26" spans="1:54" s="77" customFormat="1" ht="15" customHeight="1" thickBot="1" x14ac:dyDescent="0.3">
      <c r="A26" s="174" t="s">
        <v>93</v>
      </c>
      <c r="B26" s="175"/>
      <c r="C26" s="175"/>
      <c r="D26" s="175"/>
      <c r="E26" s="135"/>
      <c r="F26" s="136"/>
      <c r="G26" s="136"/>
      <c r="H26" s="136"/>
      <c r="I26" s="137"/>
      <c r="J26" s="101"/>
      <c r="U26" s="102"/>
      <c r="V26" s="94"/>
      <c r="W26" s="94"/>
      <c r="X26" s="94"/>
      <c r="Y26" s="94"/>
      <c r="Z26" s="94"/>
      <c r="AA26" s="94"/>
      <c r="AB26" s="94"/>
      <c r="AC26" s="94"/>
      <c r="AD26" s="103"/>
      <c r="AZ26" s="78"/>
    </row>
    <row r="27" spans="1:54" s="77" customFormat="1" x14ac:dyDescent="0.25">
      <c r="A27" s="104"/>
      <c r="B27" s="104"/>
      <c r="C27" s="104"/>
      <c r="D27" s="104"/>
      <c r="E27" s="99"/>
      <c r="F27" s="99"/>
      <c r="G27" s="99"/>
      <c r="H27" s="99"/>
      <c r="AZ27" s="78"/>
    </row>
    <row r="28" spans="1:54" s="77" customFormat="1" x14ac:dyDescent="0.25">
      <c r="A28" s="104"/>
      <c r="B28" s="104"/>
      <c r="C28" s="104"/>
      <c r="D28" s="104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Z28" s="78"/>
    </row>
    <row r="29" spans="1:54" s="77" customFormat="1" x14ac:dyDescent="0.25">
      <c r="B29" s="86"/>
      <c r="C29" s="86"/>
      <c r="D29" s="86"/>
      <c r="E29" s="86"/>
      <c r="F29" s="86"/>
      <c r="G29" s="86"/>
      <c r="H29" s="86"/>
      <c r="I29" s="86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Z29" s="78"/>
    </row>
    <row r="30" spans="1:54" s="77" customFormat="1" x14ac:dyDescent="0.25">
      <c r="N30" s="86"/>
      <c r="P30" s="86"/>
      <c r="V30" s="86"/>
      <c r="Y30" s="86"/>
      <c r="AA30" s="86"/>
      <c r="AZ30" s="78"/>
    </row>
    <row r="31" spans="1:54" s="77" customFormat="1" x14ac:dyDescent="0.25">
      <c r="AZ31" s="78"/>
      <c r="BA31" s="106"/>
    </row>
    <row r="32" spans="1:54" s="77" customFormat="1" x14ac:dyDescent="0.25">
      <c r="AZ32" s="78"/>
      <c r="BA32" s="106"/>
    </row>
    <row r="33" spans="1:233" s="77" customFormat="1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AZ33" s="78"/>
    </row>
    <row r="34" spans="1:233" s="77" customForma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AZ34" s="78"/>
    </row>
    <row r="35" spans="1:233" s="77" customFormat="1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AZ35" s="107"/>
      <c r="BA35" s="108"/>
      <c r="BB35" s="109"/>
    </row>
    <row r="36" spans="1:233" s="77" customFormat="1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AL36" s="110"/>
      <c r="AM36" s="110"/>
      <c r="AN36" s="110"/>
      <c r="AO36" s="110"/>
      <c r="AP36" s="110"/>
      <c r="AQ36" s="110"/>
      <c r="AR36" s="110"/>
      <c r="AS36" s="110"/>
      <c r="AU36" s="110"/>
      <c r="AV36" s="110"/>
      <c r="AW36" s="110"/>
      <c r="AX36" s="110"/>
      <c r="AY36" s="110"/>
      <c r="AZ36" s="107"/>
      <c r="BA36" s="108"/>
      <c r="BB36" s="109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</row>
    <row r="37" spans="1:233" s="77" customFormat="1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AJ37" s="106"/>
      <c r="AZ37" s="78"/>
      <c r="BA37" s="108"/>
      <c r="BB37" s="109"/>
    </row>
    <row r="38" spans="1:233" s="77" customFormat="1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05" cm="1">
        <f t="array" ref="M38:AD38">IF($E$80=1,"",IF($I$69=1,_r1,IF($I$69=2,_r2,IF($I$69=3,_r3,IF($I$69=4,_r4,IF($I$69=5,_r5,IF($I$69=6,_r6,IF($I$69=7,_r7,IF($I$69=8,_r8,IF($I$69=9,_r9,IF($I$69=10,_r10,IF($I$69=11,_r11,IF($I$69=12,_r12,IF($I$69=13,_r13,IF($I$69=14,_r14,"")))))))))))))))</f>
        <v>1</v>
      </c>
      <c r="N38" s="111" t="str">
        <v xml:space="preserve"> </v>
      </c>
      <c r="O38" s="86">
        <v>2</v>
      </c>
      <c r="P38" s="111" t="str">
        <v xml:space="preserve"> </v>
      </c>
      <c r="Q38" s="86" t="str">
        <v>…</v>
      </c>
      <c r="R38" s="77" t="str">
        <v xml:space="preserve"> </v>
      </c>
      <c r="S38" s="77" t="str">
        <v>…</v>
      </c>
      <c r="T38" s="86" t="str">
        <v xml:space="preserve"> </v>
      </c>
      <c r="U38" s="77" t="str">
        <v>…</v>
      </c>
      <c r="V38" s="77" t="str">
        <v xml:space="preserve"> </v>
      </c>
      <c r="W38" s="86" t="str">
        <v>…</v>
      </c>
      <c r="X38" s="77" t="str">
        <v xml:space="preserve"> </v>
      </c>
      <c r="Y38" s="77" t="str">
        <v>…</v>
      </c>
      <c r="Z38" s="77" t="str">
        <v xml:space="preserve"> </v>
      </c>
      <c r="AA38" s="77" t="str">
        <v>…</v>
      </c>
      <c r="AB38" s="77" t="str">
        <v xml:space="preserve"> </v>
      </c>
      <c r="AC38" s="77">
        <v>13</v>
      </c>
      <c r="AD38" s="77">
        <v>14</v>
      </c>
      <c r="AJ38" s="106"/>
      <c r="AZ38" s="78"/>
    </row>
    <row r="39" spans="1:233" s="77" customFormat="1" x14ac:dyDescent="0.25">
      <c r="A39" s="185" t="s">
        <v>125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90" t="str" cm="1">
        <f t="array" ref="M39">IF($E$80=1,"",IF($I$69=12,_r12.1,""))</f>
        <v/>
      </c>
      <c r="N39" s="90"/>
      <c r="O39" s="90"/>
      <c r="P39" s="90"/>
      <c r="Q39" s="90"/>
      <c r="T39" s="86"/>
      <c r="W39" s="86"/>
      <c r="AJ39" s="106"/>
      <c r="AZ39" s="78"/>
    </row>
    <row r="40" spans="1:233" s="77" customFormat="1" x14ac:dyDescent="0.25">
      <c r="A40" s="185" t="s">
        <v>127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T40" s="86"/>
      <c r="W40" s="86"/>
      <c r="AJ40" s="106"/>
      <c r="AZ40" s="78"/>
    </row>
    <row r="41" spans="1:233" s="77" customFormat="1" x14ac:dyDescent="0.25">
      <c r="A41" s="191" t="s">
        <v>126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AJ41" s="106"/>
      <c r="AZ41" s="78"/>
    </row>
    <row r="42" spans="1:233" s="77" customFormat="1" x14ac:dyDescent="0.25">
      <c r="A42" s="191" t="s">
        <v>94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AZ42" s="78"/>
    </row>
    <row r="43" spans="1:233" s="77" customFormat="1" x14ac:dyDescent="0.25">
      <c r="A43" s="191" t="s">
        <v>95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AZ43" s="78"/>
    </row>
    <row r="44" spans="1:233" s="5" customFormat="1" hidden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AZ44" s="14"/>
    </row>
    <row r="45" spans="1:233" s="5" customFormat="1" ht="15.75" hidden="1" thickBot="1" x14ac:dyDescent="0.3">
      <c r="A45" s="232" t="s">
        <v>117</v>
      </c>
      <c r="B45" s="232"/>
      <c r="C45" s="232"/>
      <c r="D45" s="232"/>
      <c r="E45" s="232"/>
      <c r="F45" s="232"/>
      <c r="H45" s="63" t="s">
        <v>56</v>
      </c>
      <c r="I45" s="64"/>
      <c r="J45" s="64"/>
      <c r="S45" s="67"/>
      <c r="T45" s="67"/>
      <c r="U45" s="67"/>
      <c r="V45" s="67"/>
      <c r="W45" s="67"/>
      <c r="AQ45" s="22"/>
      <c r="AR45" s="22"/>
      <c r="AS45" s="22"/>
      <c r="AT45" s="22"/>
      <c r="AU45" s="22"/>
      <c r="AV45" s="22"/>
      <c r="AZ45" s="14"/>
      <c r="CN45" s="13"/>
    </row>
    <row r="46" spans="1:233" s="5" customFormat="1" ht="15.75" hidden="1" thickBot="1" x14ac:dyDescent="0.3">
      <c r="A46" s="171" t="s">
        <v>38</v>
      </c>
      <c r="B46" s="171"/>
      <c r="C46" s="171"/>
      <c r="D46" s="176" t="s">
        <v>118</v>
      </c>
      <c r="E46" s="176"/>
      <c r="F46" s="176"/>
      <c r="G46" s="44">
        <f>IF( J65 &lt;&gt; 0, 0, IF( I46 = 1, 0, IF( D46 = A97, 0, 1 ) ) )</f>
        <v>1</v>
      </c>
      <c r="H46" s="64" t="s">
        <v>57</v>
      </c>
      <c r="I46" s="65">
        <f>IF(ISERROR(J46),0,IF(J46=1,1,0))</f>
        <v>0</v>
      </c>
      <c r="J46" s="65">
        <f>IF(Blad2!A2="True",1,0)</f>
        <v>0</v>
      </c>
      <c r="AQ46" s="22"/>
      <c r="AR46" s="22"/>
      <c r="AS46" s="22"/>
      <c r="AT46" s="22"/>
      <c r="AU46" s="22"/>
      <c r="AV46" s="22"/>
      <c r="AZ46" s="14"/>
      <c r="CN46" s="13"/>
    </row>
    <row r="47" spans="1:233" s="5" customFormat="1" ht="15.75" hidden="1" thickBot="1" x14ac:dyDescent="0.3">
      <c r="A47" s="171" t="s">
        <v>129</v>
      </c>
      <c r="B47" s="171"/>
      <c r="C47" s="171"/>
      <c r="D47" s="176" t="s">
        <v>119</v>
      </c>
      <c r="E47" s="176"/>
      <c r="F47" s="176"/>
      <c r="G47" s="44">
        <f>IF( I47 = 1, 1, IF( D47 = A97, 0, 1 ))</f>
        <v>0</v>
      </c>
      <c r="H47" s="64" t="s">
        <v>128</v>
      </c>
      <c r="I47" s="65">
        <f>IF(ISERROR(J47),0,IF(J47=1,1,0))</f>
        <v>0</v>
      </c>
      <c r="J47" s="65">
        <f>IF(Blad2!A1="Roll",1,0)</f>
        <v>0</v>
      </c>
      <c r="AQ47" s="22"/>
      <c r="AR47" s="22"/>
      <c r="AS47" s="22"/>
      <c r="AT47" s="22"/>
      <c r="AU47" s="22"/>
      <c r="AV47" s="22"/>
      <c r="AZ47" s="14"/>
      <c r="CN47" s="13"/>
    </row>
    <row r="48" spans="1:233" s="5" customFormat="1" hidden="1" x14ac:dyDescent="0.25">
      <c r="A48" s="13"/>
      <c r="AQ48" s="22"/>
      <c r="AR48" s="22"/>
      <c r="AV48" s="22"/>
      <c r="AZ48" s="14"/>
      <c r="BB48" s="13"/>
      <c r="CN48" s="13"/>
    </row>
    <row r="49" spans="1:54" s="5" customFormat="1" hidden="1" x14ac:dyDescent="0.25">
      <c r="A49" s="13" t="s">
        <v>65</v>
      </c>
      <c r="K49" s="138" t="s">
        <v>33</v>
      </c>
      <c r="L49" s="139"/>
      <c r="M49" s="138" t="s">
        <v>10</v>
      </c>
      <c r="N49" s="140"/>
      <c r="O49" s="140"/>
      <c r="P49" s="139"/>
      <c r="Q49" s="138" t="s">
        <v>16</v>
      </c>
      <c r="R49" s="139"/>
      <c r="S49" s="138" t="s">
        <v>17</v>
      </c>
      <c r="T49" s="140"/>
      <c r="U49" s="140"/>
      <c r="V49" s="139"/>
      <c r="W49" s="138" t="s">
        <v>14</v>
      </c>
      <c r="X49" s="139"/>
      <c r="Y49" s="138" t="s">
        <v>15</v>
      </c>
      <c r="Z49" s="140"/>
      <c r="AA49" s="140"/>
      <c r="AB49" s="139"/>
      <c r="AC49" s="138" t="s">
        <v>18</v>
      </c>
      <c r="AD49" s="139"/>
      <c r="AE49" s="138" t="s">
        <v>19</v>
      </c>
      <c r="AF49" s="140"/>
      <c r="AG49" s="140"/>
      <c r="AH49" s="139"/>
      <c r="AI49" s="138" t="s">
        <v>20</v>
      </c>
      <c r="AJ49" s="139"/>
      <c r="AK49" s="138" t="s">
        <v>21</v>
      </c>
      <c r="AL49" s="140"/>
      <c r="AM49" s="140"/>
      <c r="AN49" s="139"/>
      <c r="AO49" s="138" t="s">
        <v>131</v>
      </c>
      <c r="AP49" s="139"/>
      <c r="AQ49" s="138" t="s">
        <v>132</v>
      </c>
      <c r="AR49" s="140"/>
      <c r="AS49" s="140"/>
      <c r="AT49" s="139"/>
      <c r="AU49" s="138" t="s">
        <v>142</v>
      </c>
      <c r="AV49" s="139"/>
      <c r="AW49" s="138" t="s">
        <v>143</v>
      </c>
      <c r="AX49" s="265"/>
      <c r="AY49" s="265"/>
      <c r="AZ49" s="139"/>
      <c r="BB49" s="13"/>
    </row>
    <row r="50" spans="1:54" s="5" customFormat="1" ht="18" hidden="1" thickBot="1" x14ac:dyDescent="0.3">
      <c r="A50" s="74"/>
      <c r="K50" s="155"/>
      <c r="L50" s="156"/>
      <c r="M50" s="155" t="s">
        <v>82</v>
      </c>
      <c r="N50" s="156"/>
      <c r="O50" s="157" t="s">
        <v>11</v>
      </c>
      <c r="P50" s="156"/>
      <c r="Q50" s="155"/>
      <c r="R50" s="156"/>
      <c r="S50" s="155" t="s">
        <v>12</v>
      </c>
      <c r="T50" s="156"/>
      <c r="U50" s="157" t="s">
        <v>11</v>
      </c>
      <c r="V50" s="156"/>
      <c r="W50" s="155"/>
      <c r="X50" s="156"/>
      <c r="Y50" s="155" t="s">
        <v>82</v>
      </c>
      <c r="Z50" s="156"/>
      <c r="AA50" s="157" t="s">
        <v>11</v>
      </c>
      <c r="AB50" s="156"/>
      <c r="AC50" s="155"/>
      <c r="AD50" s="156"/>
      <c r="AE50" s="155" t="s">
        <v>82</v>
      </c>
      <c r="AF50" s="156"/>
      <c r="AG50" s="157" t="s">
        <v>11</v>
      </c>
      <c r="AH50" s="156"/>
      <c r="AI50" s="155"/>
      <c r="AJ50" s="156"/>
      <c r="AK50" s="155" t="s">
        <v>82</v>
      </c>
      <c r="AL50" s="156"/>
      <c r="AM50" s="157" t="s">
        <v>11</v>
      </c>
      <c r="AN50" s="156"/>
      <c r="AO50" s="155"/>
      <c r="AP50" s="156"/>
      <c r="AQ50" s="155" t="s">
        <v>82</v>
      </c>
      <c r="AR50" s="156"/>
      <c r="AS50" s="157" t="s">
        <v>11</v>
      </c>
      <c r="AT50" s="156"/>
      <c r="AU50" s="155"/>
      <c r="AV50" s="156"/>
      <c r="AW50" s="155" t="s">
        <v>82</v>
      </c>
      <c r="AX50" s="156"/>
      <c r="AY50" s="157" t="s">
        <v>11</v>
      </c>
      <c r="AZ50" s="156"/>
      <c r="BB50" s="13"/>
    </row>
    <row r="51" spans="1:54" s="5" customFormat="1" hidden="1" x14ac:dyDescent="0.25">
      <c r="A51" s="248" t="s">
        <v>40</v>
      </c>
      <c r="B51" s="249"/>
      <c r="C51" s="249">
        <v>10000</v>
      </c>
      <c r="D51" s="253"/>
      <c r="I51" s="6" t="s">
        <v>2</v>
      </c>
      <c r="K51" s="189">
        <f>IF($C$81=1,0,($E$17-K62-K63)+K64)</f>
        <v>93.92</v>
      </c>
      <c r="L51" s="190"/>
      <c r="M51" s="189">
        <f>IF($C$81=1,0,($E$17-M62-M63)/2+M64+M65)</f>
        <v>45.5</v>
      </c>
      <c r="N51" s="190"/>
      <c r="O51" s="189">
        <f>IF($C$81=1,0,($E$17-M62-M63)/2+M64-M65)</f>
        <v>45.5</v>
      </c>
      <c r="P51" s="190"/>
      <c r="Q51" s="158">
        <f>IF($C$81=1,0,($E$17-Q62-Q63)+Q64)</f>
        <v>98.4</v>
      </c>
      <c r="R51" s="159"/>
      <c r="S51" s="158">
        <f>IF($C$81=1,0,($E$17-S62-S63)/2+S64+S65)</f>
        <v>49.350000000000009</v>
      </c>
      <c r="T51" s="159"/>
      <c r="U51" s="158">
        <f>IF($C$81=1,0,($E$17-S62-S63)/2+S64-S65)</f>
        <v>49.350000000000009</v>
      </c>
      <c r="V51" s="159"/>
      <c r="W51" s="189">
        <f>IF($C$81=1,0,($E$17-W62-W63)+W64)</f>
        <v>92.45</v>
      </c>
      <c r="X51" s="190"/>
      <c r="Y51" s="189">
        <f>IF($C$81=1,0,($E$17-Y62-Y63)/2+Y64+Y65)</f>
        <v>46.25</v>
      </c>
      <c r="Z51" s="190"/>
      <c r="AA51" s="158">
        <f>IF($C$81=1,0,($E$17-Y62-Y63)/2+Y64-Y65)</f>
        <v>46.25</v>
      </c>
      <c r="AB51" s="159"/>
      <c r="AC51" s="158">
        <f>IF($C$81=1,0,($E$17-AC62-AC63)+AC64)</f>
        <v>77.45</v>
      </c>
      <c r="AD51" s="159"/>
      <c r="AE51" s="158">
        <f>IF($C$81=1,0,($E$17-AE62-AE63)/2+AE64+AE65)</f>
        <v>38.75</v>
      </c>
      <c r="AF51" s="159"/>
      <c r="AG51" s="158">
        <f>IF($C$81=1,0,($E$17-AE62-AE63)/2+AE64-AE65)</f>
        <v>38.75</v>
      </c>
      <c r="AH51" s="159"/>
      <c r="AI51" s="158">
        <f>IF($C$81=1,0,($E$17-AI62-AI63)+AI64)</f>
        <v>88.7</v>
      </c>
      <c r="AJ51" s="159"/>
      <c r="AK51" s="158">
        <f>IF($C$81=1,0,($E$17-AK62-AK63)/2+AK64+AK65)</f>
        <v>39.4</v>
      </c>
      <c r="AL51" s="159"/>
      <c r="AM51" s="158">
        <f>IF($C$81=1,0,($E$17-AK62-AK63)/2+AK64-AK65)</f>
        <v>39.4</v>
      </c>
      <c r="AN51" s="159"/>
      <c r="AO51" s="158">
        <v>0</v>
      </c>
      <c r="AP51" s="159"/>
      <c r="AQ51" s="158">
        <f>IF($C$81=1,0,($E$17-AQ62-AQ63)/2+($E$23/2))</f>
        <v>48.8</v>
      </c>
      <c r="AR51" s="159"/>
      <c r="AS51" s="158">
        <f>IF($C$81=1,0,($E$17-AQ62-AQ63)/2+($E$23/2))</f>
        <v>48.8</v>
      </c>
      <c r="AT51" s="159"/>
      <c r="AU51" s="158">
        <f>IF($C$81=1,0,($E$17-AU62-AU63)+AU64)</f>
        <v>100.45</v>
      </c>
      <c r="AV51" s="159"/>
      <c r="AW51" s="158">
        <f>IF($C$81=1,0,($E$17-AW62-AW63)/2+AW64+AW65)</f>
        <v>50.25</v>
      </c>
      <c r="AX51" s="159"/>
      <c r="AY51" s="158">
        <f>IF($C$81=1,0,($E$17-AW62-AW63)/2+AW64-AW65)</f>
        <v>50.25</v>
      </c>
      <c r="AZ51" s="159"/>
    </row>
    <row r="52" spans="1:54" s="5" customFormat="1" ht="15.75" hidden="1" thickBot="1" x14ac:dyDescent="0.3">
      <c r="A52" s="250" t="s">
        <v>35</v>
      </c>
      <c r="B52" s="232"/>
      <c r="C52" s="232">
        <f>IF(E13=A98,1000,500)</f>
        <v>1000</v>
      </c>
      <c r="D52" s="200"/>
      <c r="I52" s="6" t="s">
        <v>0</v>
      </c>
      <c r="K52" s="138">
        <f>K51/$B$85</f>
        <v>11.86914</v>
      </c>
      <c r="L52" s="139"/>
      <c r="M52" s="138">
        <f>M51/$B$85</f>
        <v>5.7500624999999994</v>
      </c>
      <c r="N52" s="139"/>
      <c r="O52" s="138">
        <f>O51/$B$85</f>
        <v>5.7500624999999994</v>
      </c>
      <c r="P52" s="139"/>
      <c r="Q52" s="138">
        <f>Q51/$B$85</f>
        <v>12.4353</v>
      </c>
      <c r="R52" s="139"/>
      <c r="S52" s="138">
        <f>S51/$B$85</f>
        <v>6.2366062500000012</v>
      </c>
      <c r="T52" s="139"/>
      <c r="U52" s="138">
        <f>U51/$B$85</f>
        <v>6.2366062500000012</v>
      </c>
      <c r="V52" s="139"/>
      <c r="W52" s="138">
        <f>W51/$B$85</f>
        <v>11.68336875</v>
      </c>
      <c r="X52" s="139"/>
      <c r="Y52" s="138">
        <f>Y51/$B$85</f>
        <v>5.8448437499999999</v>
      </c>
      <c r="Z52" s="139"/>
      <c r="AA52" s="138">
        <f>AA51/$B$85</f>
        <v>5.8448437499999999</v>
      </c>
      <c r="AB52" s="139"/>
      <c r="AC52" s="138">
        <f>AC51/$B$85</f>
        <v>9.7877437500000006</v>
      </c>
      <c r="AD52" s="139"/>
      <c r="AE52" s="138">
        <f>AE51/$B$85</f>
        <v>4.8970312499999995</v>
      </c>
      <c r="AF52" s="139"/>
      <c r="AG52" s="138">
        <f>AG51/$B$85</f>
        <v>4.8970312499999995</v>
      </c>
      <c r="AH52" s="139"/>
      <c r="AI52" s="138">
        <f>AI51/$B$85</f>
        <v>11.209462500000001</v>
      </c>
      <c r="AJ52" s="139"/>
      <c r="AK52" s="138">
        <f>AK51/$B$85</f>
        <v>4.9791749999999997</v>
      </c>
      <c r="AL52" s="139"/>
      <c r="AM52" s="138">
        <f>AM51/$B$85</f>
        <v>4.9791749999999997</v>
      </c>
      <c r="AN52" s="139"/>
      <c r="AO52" s="138">
        <v>0</v>
      </c>
      <c r="AP52" s="139"/>
      <c r="AQ52" s="138">
        <f>AQ51/$B$85</f>
        <v>6.1670999999999996</v>
      </c>
      <c r="AR52" s="139"/>
      <c r="AS52" s="138">
        <f>AS51/$B$85</f>
        <v>6.1670999999999996</v>
      </c>
      <c r="AT52" s="139"/>
      <c r="AU52" s="138">
        <f>AU51/$B$85</f>
        <v>12.694368750000001</v>
      </c>
      <c r="AV52" s="139"/>
      <c r="AW52" s="138">
        <f>AW51/$B$85</f>
        <v>6.3503437499999995</v>
      </c>
      <c r="AX52" s="139"/>
      <c r="AY52" s="138">
        <f>AY51/$B$85</f>
        <v>6.3503437499999995</v>
      </c>
      <c r="AZ52" s="139"/>
    </row>
    <row r="53" spans="1:54" s="5" customFormat="1" hidden="1" x14ac:dyDescent="0.25">
      <c r="A53" s="257" t="s">
        <v>87</v>
      </c>
      <c r="B53" s="258"/>
      <c r="C53" s="7" t="s">
        <v>82</v>
      </c>
      <c r="D53" s="30">
        <f>I59*E25</f>
        <v>224</v>
      </c>
      <c r="I53" s="6" t="s">
        <v>32</v>
      </c>
      <c r="K53" s="138">
        <f>ROUNDUP(K52,0)</f>
        <v>12</v>
      </c>
      <c r="L53" s="139"/>
      <c r="M53" s="138">
        <f t="shared" ref="M53" si="0">ROUNDUP(M52,0)</f>
        <v>6</v>
      </c>
      <c r="N53" s="139"/>
      <c r="O53" s="138">
        <f t="shared" ref="O53" si="1">ROUNDUP(O52,0)</f>
        <v>6</v>
      </c>
      <c r="P53" s="139"/>
      <c r="Q53" s="138">
        <f>ROUNDUP(Q52,0)</f>
        <v>13</v>
      </c>
      <c r="R53" s="139"/>
      <c r="S53" s="138">
        <f t="shared" ref="S53" si="2">ROUNDUP(S52,0)</f>
        <v>7</v>
      </c>
      <c r="T53" s="139"/>
      <c r="U53" s="138">
        <f t="shared" ref="U53" si="3">ROUNDUP(U52,0)</f>
        <v>7</v>
      </c>
      <c r="V53" s="139"/>
      <c r="W53" s="138">
        <f>ROUNDUP(W52,0)</f>
        <v>12</v>
      </c>
      <c r="X53" s="139"/>
      <c r="Y53" s="138">
        <f t="shared" ref="Y53" si="4">ROUNDUP(Y52,0)</f>
        <v>6</v>
      </c>
      <c r="Z53" s="139"/>
      <c r="AA53" s="138">
        <f t="shared" ref="AA53" si="5">ROUNDUP(AA52,0)</f>
        <v>6</v>
      </c>
      <c r="AB53" s="139"/>
      <c r="AC53" s="138">
        <f>ROUNDUP(AC52,0)</f>
        <v>10</v>
      </c>
      <c r="AD53" s="139"/>
      <c r="AE53" s="138">
        <f t="shared" ref="AE53" si="6">ROUNDUP(AE52,0)</f>
        <v>5</v>
      </c>
      <c r="AF53" s="139"/>
      <c r="AG53" s="138">
        <f t="shared" ref="AG53" si="7">ROUNDUP(AG52,0)</f>
        <v>5</v>
      </c>
      <c r="AH53" s="139"/>
      <c r="AI53" s="138">
        <f>ROUNDUP(AI52,0)</f>
        <v>12</v>
      </c>
      <c r="AJ53" s="139"/>
      <c r="AK53" s="138">
        <f t="shared" ref="AK53" si="8">ROUNDUP(AK52,0)</f>
        <v>5</v>
      </c>
      <c r="AL53" s="139"/>
      <c r="AM53" s="138">
        <f t="shared" ref="AM53" si="9">ROUNDUP(AM52,0)</f>
        <v>5</v>
      </c>
      <c r="AN53" s="139"/>
      <c r="AO53" s="138">
        <v>0</v>
      </c>
      <c r="AP53" s="139"/>
      <c r="AQ53" s="138">
        <f t="shared" ref="AQ53" si="10">ROUNDUP(AQ52,0)</f>
        <v>7</v>
      </c>
      <c r="AR53" s="139"/>
      <c r="AS53" s="138">
        <f t="shared" ref="AS53" si="11">ROUNDUP(AS52,0)</f>
        <v>7</v>
      </c>
      <c r="AT53" s="139"/>
      <c r="AU53" s="138">
        <f>ROUNDUP(AU52,0)+1</f>
        <v>14</v>
      </c>
      <c r="AV53" s="139"/>
      <c r="AW53" s="138">
        <f>ROUNDUP(AW52,0)+1</f>
        <v>8</v>
      </c>
      <c r="AX53" s="139"/>
      <c r="AY53" s="138">
        <f>ROUNDUP(AY52,0)+1</f>
        <v>8</v>
      </c>
      <c r="AZ53" s="139"/>
    </row>
    <row r="54" spans="1:54" s="5" customFormat="1" ht="15.75" hidden="1" thickBot="1" x14ac:dyDescent="0.3">
      <c r="A54" s="181" t="s">
        <v>86</v>
      </c>
      <c r="B54" s="182"/>
      <c r="C54" s="11" t="s">
        <v>11</v>
      </c>
      <c r="D54" s="31">
        <f>I60*E25</f>
        <v>0</v>
      </c>
      <c r="I54" s="62" t="s">
        <v>110</v>
      </c>
      <c r="K54" s="155">
        <f>EVEN(K53)</f>
        <v>12</v>
      </c>
      <c r="L54" s="156"/>
      <c r="M54" s="155">
        <f t="shared" ref="M54" si="12">EVEN(M53)</f>
        <v>6</v>
      </c>
      <c r="N54" s="156"/>
      <c r="O54" s="155">
        <f t="shared" ref="O54" si="13">EVEN(O53)</f>
        <v>6</v>
      </c>
      <c r="P54" s="156"/>
      <c r="Q54" s="155">
        <f>EVEN(Q53+1)</f>
        <v>14</v>
      </c>
      <c r="R54" s="156"/>
      <c r="S54" s="155">
        <f>EVEN(S53+1)</f>
        <v>8</v>
      </c>
      <c r="T54" s="156"/>
      <c r="U54" s="155">
        <f>EVEN(U53+1)</f>
        <v>8</v>
      </c>
      <c r="V54" s="156"/>
      <c r="W54" s="155">
        <f>EVEN(W53)</f>
        <v>12</v>
      </c>
      <c r="X54" s="156"/>
      <c r="Y54" s="155">
        <f t="shared" ref="Y54" si="14">EVEN(Y53)</f>
        <v>6</v>
      </c>
      <c r="Z54" s="156"/>
      <c r="AA54" s="155">
        <f t="shared" ref="AA54" si="15">EVEN(AA53)</f>
        <v>6</v>
      </c>
      <c r="AB54" s="156"/>
      <c r="AC54" s="155">
        <f>ODD(AC53)</f>
        <v>11</v>
      </c>
      <c r="AD54" s="156"/>
      <c r="AE54" s="155">
        <f>ODD(AE53)</f>
        <v>5</v>
      </c>
      <c r="AF54" s="156"/>
      <c r="AG54" s="155">
        <f>ODD(AG53)</f>
        <v>5</v>
      </c>
      <c r="AH54" s="156"/>
      <c r="AI54" s="155">
        <f>ODD(AI53)</f>
        <v>13</v>
      </c>
      <c r="AJ54" s="156"/>
      <c r="AK54" s="155">
        <f>ODD(AK53)</f>
        <v>5</v>
      </c>
      <c r="AL54" s="156"/>
      <c r="AM54" s="155">
        <f>ODD(AM53)</f>
        <v>5</v>
      </c>
      <c r="AN54" s="156"/>
      <c r="AO54" s="155">
        <v>0</v>
      </c>
      <c r="AP54" s="156"/>
      <c r="AQ54" s="155">
        <f>EVEN(AQ53)</f>
        <v>8</v>
      </c>
      <c r="AR54" s="156"/>
      <c r="AS54" s="155">
        <f>EVEN(AS53)</f>
        <v>8</v>
      </c>
      <c r="AT54" s="156"/>
      <c r="AU54" s="155">
        <f>EVEN(AU53)</f>
        <v>14</v>
      </c>
      <c r="AV54" s="156"/>
      <c r="AW54" s="155">
        <f>EVEN(AW53)</f>
        <v>8</v>
      </c>
      <c r="AX54" s="156"/>
      <c r="AY54" s="155">
        <f>EVEN(AY53)</f>
        <v>8</v>
      </c>
      <c r="AZ54" s="156"/>
    </row>
    <row r="55" spans="1:54" s="5" customFormat="1" ht="15.75" hidden="1" thickBot="1" x14ac:dyDescent="0.3">
      <c r="A55" s="179" t="s">
        <v>83</v>
      </c>
      <c r="B55" s="180"/>
      <c r="C55" s="180"/>
      <c r="D55" s="177">
        <v>2.9</v>
      </c>
      <c r="I55" s="14" t="s">
        <v>62</v>
      </c>
      <c r="K55" s="150">
        <f>K54+K66</f>
        <v>14</v>
      </c>
      <c r="L55" s="151"/>
      <c r="M55" s="150">
        <f>M54+M66</f>
        <v>8</v>
      </c>
      <c r="N55" s="151"/>
      <c r="O55" s="150">
        <f>O54+O66</f>
        <v>7</v>
      </c>
      <c r="P55" s="151"/>
      <c r="Q55" s="150">
        <f>Q54+Q66</f>
        <v>14</v>
      </c>
      <c r="R55" s="151"/>
      <c r="S55" s="150">
        <f>S54+S66</f>
        <v>8</v>
      </c>
      <c r="T55" s="151"/>
      <c r="U55" s="150">
        <f>U54+U66</f>
        <v>8</v>
      </c>
      <c r="V55" s="151"/>
      <c r="W55" s="150">
        <f>W54+W66</f>
        <v>14</v>
      </c>
      <c r="X55" s="151"/>
      <c r="Y55" s="150">
        <f>Y54+Y66</f>
        <v>8</v>
      </c>
      <c r="Z55" s="151"/>
      <c r="AA55" s="150">
        <f>AA54+AA66</f>
        <v>7</v>
      </c>
      <c r="AB55" s="151"/>
      <c r="AC55" s="150">
        <f>AC54+AC66</f>
        <v>12</v>
      </c>
      <c r="AD55" s="151"/>
      <c r="AE55" s="150">
        <f>AE54+AE66</f>
        <v>6</v>
      </c>
      <c r="AF55" s="151"/>
      <c r="AG55" s="150">
        <f>AG54+AG66</f>
        <v>6</v>
      </c>
      <c r="AH55" s="151"/>
      <c r="AI55" s="150">
        <f>AI54+AI66</f>
        <v>14</v>
      </c>
      <c r="AJ55" s="151"/>
      <c r="AK55" s="150">
        <f>AK54+AK66</f>
        <v>6</v>
      </c>
      <c r="AL55" s="151"/>
      <c r="AM55" s="150">
        <f>AM54+AM66</f>
        <v>6</v>
      </c>
      <c r="AN55" s="151"/>
      <c r="AO55" s="150">
        <v>0</v>
      </c>
      <c r="AP55" s="151"/>
      <c r="AQ55" s="150">
        <f>AQ54+AQ66</f>
        <v>10</v>
      </c>
      <c r="AR55" s="151"/>
      <c r="AS55" s="150">
        <f>AS54+AS66</f>
        <v>10</v>
      </c>
      <c r="AT55" s="151"/>
      <c r="AU55" s="150">
        <f>AU54</f>
        <v>14</v>
      </c>
      <c r="AV55" s="151"/>
      <c r="AW55" s="150">
        <f>AW54</f>
        <v>8</v>
      </c>
      <c r="AX55" s="151"/>
      <c r="AY55" s="150">
        <f>AY54</f>
        <v>8</v>
      </c>
      <c r="AZ55" s="151"/>
    </row>
    <row r="56" spans="1:54" s="5" customFormat="1" ht="15.75" hidden="1" thickBot="1" x14ac:dyDescent="0.3">
      <c r="A56" s="183" t="s">
        <v>84</v>
      </c>
      <c r="B56" s="184"/>
      <c r="C56" s="184"/>
      <c r="D56" s="178"/>
      <c r="I56" s="14" t="s">
        <v>71</v>
      </c>
      <c r="K56" s="150">
        <f>K55+K67</f>
        <v>14</v>
      </c>
      <c r="L56" s="151"/>
      <c r="M56" s="150">
        <f>M55+M67</f>
        <v>8</v>
      </c>
      <c r="N56" s="151"/>
      <c r="O56" s="150">
        <f>O55+O67</f>
        <v>8</v>
      </c>
      <c r="P56" s="151"/>
      <c r="Q56" s="150">
        <f>Q55+Q67</f>
        <v>14</v>
      </c>
      <c r="R56" s="151"/>
      <c r="S56" s="150">
        <f>S55+S67</f>
        <v>8</v>
      </c>
      <c r="T56" s="151"/>
      <c r="U56" s="150">
        <f>U55+U67</f>
        <v>8</v>
      </c>
      <c r="V56" s="151"/>
      <c r="W56" s="150">
        <f>W55+W67</f>
        <v>14</v>
      </c>
      <c r="X56" s="151"/>
      <c r="Y56" s="150">
        <f>Y55+Y67</f>
        <v>8</v>
      </c>
      <c r="Z56" s="151"/>
      <c r="AA56" s="150">
        <f>AA55+AA67</f>
        <v>8</v>
      </c>
      <c r="AB56" s="151"/>
      <c r="AC56" s="150">
        <f>AC55+AC67</f>
        <v>14</v>
      </c>
      <c r="AD56" s="151"/>
      <c r="AE56" s="150">
        <f>AE55+AE67</f>
        <v>8</v>
      </c>
      <c r="AF56" s="151"/>
      <c r="AG56" s="150">
        <f>AG55+AG67</f>
        <v>8</v>
      </c>
      <c r="AH56" s="151"/>
      <c r="AI56" s="150">
        <f>AI55+AI67</f>
        <v>16</v>
      </c>
      <c r="AJ56" s="151"/>
      <c r="AK56" s="150">
        <f>AK55+AK67</f>
        <v>8</v>
      </c>
      <c r="AL56" s="151"/>
      <c r="AM56" s="150">
        <f>AM55+AM67</f>
        <v>8</v>
      </c>
      <c r="AN56" s="151"/>
      <c r="AO56" s="150">
        <f>AO55+AO67</f>
        <v>0</v>
      </c>
      <c r="AP56" s="151"/>
      <c r="AQ56" s="150">
        <f>AQ55+AQ67</f>
        <v>10</v>
      </c>
      <c r="AR56" s="151"/>
      <c r="AS56" s="150">
        <f>AS55+AS67</f>
        <v>10</v>
      </c>
      <c r="AT56" s="151"/>
      <c r="AU56" s="150">
        <f>AU55+AU67</f>
        <v>14</v>
      </c>
      <c r="AV56" s="151"/>
      <c r="AW56" s="150">
        <f>AW55+AW67</f>
        <v>8</v>
      </c>
      <c r="AX56" s="151"/>
      <c r="AY56" s="150">
        <f>AY55+AY67</f>
        <v>8</v>
      </c>
      <c r="AZ56" s="151"/>
    </row>
    <row r="57" spans="1:54" s="5" customFormat="1" ht="15.75" hidden="1" thickBot="1" x14ac:dyDescent="0.3">
      <c r="A57" s="179" t="s">
        <v>85</v>
      </c>
      <c r="B57" s="180"/>
      <c r="C57" s="180"/>
      <c r="D57" s="177">
        <v>8</v>
      </c>
      <c r="H57" s="14" t="s">
        <v>78</v>
      </c>
      <c r="I57" s="193">
        <f>SUM(K57:KT57)</f>
        <v>14</v>
      </c>
      <c r="J57" s="194"/>
      <c r="K57" s="153">
        <f>IF($I$69=K$68,K$55,0)</f>
        <v>14</v>
      </c>
      <c r="L57" s="153"/>
      <c r="M57" s="152">
        <f>IF($I$69=M$68,M$55,0)</f>
        <v>0</v>
      </c>
      <c r="N57" s="154"/>
      <c r="O57" s="7"/>
      <c r="P57" s="7"/>
      <c r="Q57" s="152">
        <f>IF($I$69=Q$68,Q$55,0)</f>
        <v>0</v>
      </c>
      <c r="R57" s="153"/>
      <c r="S57" s="152">
        <f>IF($I$69=S$68,S$55,0)</f>
        <v>0</v>
      </c>
      <c r="T57" s="154"/>
      <c r="U57" s="7"/>
      <c r="V57" s="38"/>
      <c r="W57" s="152">
        <f>IF($I$69=W$68,W$55,0)</f>
        <v>0</v>
      </c>
      <c r="X57" s="153"/>
      <c r="Y57" s="152">
        <f>IF($I$69=Y$68,Y$55,0)</f>
        <v>0</v>
      </c>
      <c r="Z57" s="154"/>
      <c r="AA57" s="7"/>
      <c r="AB57" s="7"/>
      <c r="AC57" s="152">
        <f>IF($I$69=AC$68,AC$55,0)</f>
        <v>0</v>
      </c>
      <c r="AD57" s="153"/>
      <c r="AE57" s="152">
        <f>IF($I$69=AE$68,AE$55,0)</f>
        <v>0</v>
      </c>
      <c r="AF57" s="154"/>
      <c r="AG57" s="7"/>
      <c r="AH57" s="7"/>
      <c r="AI57" s="152">
        <f>IF($I$69=AI$68,AI$55,0)</f>
        <v>0</v>
      </c>
      <c r="AJ57" s="153"/>
      <c r="AK57" s="152">
        <f>IF($I$69=AK$68,AK$55,0)</f>
        <v>0</v>
      </c>
      <c r="AL57" s="154"/>
      <c r="AN57" s="38"/>
      <c r="AO57" s="152">
        <f>IF($I$69=AO$68,AO$55,0)</f>
        <v>0</v>
      </c>
      <c r="AP57" s="153"/>
      <c r="AQ57" s="152">
        <f>IF($I$69=AQ$68,AQ$55,0)</f>
        <v>0</v>
      </c>
      <c r="AR57" s="154"/>
      <c r="AT57" s="38"/>
      <c r="AU57" s="152">
        <f>IF($I$69=AU$68,AU$55,0)</f>
        <v>0</v>
      </c>
      <c r="AV57" s="153"/>
      <c r="AW57" s="152">
        <f>IF($I$69=AW$68,AW$55,0)</f>
        <v>0</v>
      </c>
      <c r="AX57" s="154"/>
      <c r="AY57" s="7"/>
      <c r="AZ57" s="38"/>
    </row>
    <row r="58" spans="1:54" s="5" customFormat="1" ht="15.75" hidden="1" thickBot="1" x14ac:dyDescent="0.3">
      <c r="A58" s="183" t="s">
        <v>84</v>
      </c>
      <c r="B58" s="184"/>
      <c r="C58" s="184"/>
      <c r="D58" s="178"/>
      <c r="H58" s="14" t="s">
        <v>75</v>
      </c>
      <c r="I58" s="193">
        <f>SUM(K58:KT58)</f>
        <v>0</v>
      </c>
      <c r="J58" s="194"/>
      <c r="M58" s="15"/>
      <c r="O58" s="138">
        <f>IF($I$69=M$68,O$55,0)</f>
        <v>0</v>
      </c>
      <c r="P58" s="139"/>
      <c r="Q58" s="15"/>
      <c r="S58" s="15"/>
      <c r="U58" s="138">
        <f>IF($I$69=S$68,U$55,0)</f>
        <v>0</v>
      </c>
      <c r="V58" s="139"/>
      <c r="Y58" s="15"/>
      <c r="AA58" s="138">
        <f>IF($I$69=Y$68,AA$55,0)</f>
        <v>0</v>
      </c>
      <c r="AB58" s="139"/>
      <c r="AE58" s="15"/>
      <c r="AG58" s="138">
        <f>IF($I$69=AE$68,AG$55,0)</f>
        <v>0</v>
      </c>
      <c r="AH58" s="139"/>
      <c r="AI58" s="15"/>
      <c r="AK58" s="15"/>
      <c r="AL58" s="16"/>
      <c r="AM58" s="138">
        <f>IF($I$69=AK$68,AM$55,0)</f>
        <v>0</v>
      </c>
      <c r="AN58" s="139"/>
      <c r="AO58" s="15"/>
      <c r="AQ58" s="15"/>
      <c r="AR58" s="16"/>
      <c r="AS58" s="138">
        <f>IF($I$69=AQ$68,AS$55,0)</f>
        <v>0</v>
      </c>
      <c r="AT58" s="139"/>
      <c r="AU58" s="15"/>
      <c r="AV58" s="266"/>
      <c r="AW58" s="15"/>
      <c r="AX58" s="266"/>
      <c r="AY58" s="138">
        <f>IF($I$69=AW$68,AY$55,0)</f>
        <v>0</v>
      </c>
      <c r="AZ58" s="139"/>
    </row>
    <row r="59" spans="1:54" s="5" customFormat="1" ht="15.75" hidden="1" customHeight="1" thickBot="1" x14ac:dyDescent="0.3">
      <c r="A59" s="165" t="s">
        <v>124</v>
      </c>
      <c r="B59" s="166"/>
      <c r="C59" s="167"/>
      <c r="D59" s="177">
        <v>80</v>
      </c>
      <c r="H59" s="14" t="s">
        <v>76</v>
      </c>
      <c r="I59" s="193">
        <f>SUM(K59:KT59)</f>
        <v>14</v>
      </c>
      <c r="J59" s="194"/>
      <c r="K59" s="140">
        <f>IF($I$69=K$68,K56,0)</f>
        <v>14</v>
      </c>
      <c r="L59" s="140"/>
      <c r="M59" s="138">
        <f>IF($I$69=M$68,M56,0)</f>
        <v>0</v>
      </c>
      <c r="N59" s="139"/>
      <c r="Q59" s="138">
        <f>IF($I$69=Q$68,Q56,0)</f>
        <v>0</v>
      </c>
      <c r="R59" s="140"/>
      <c r="S59" s="138">
        <f>IF($I$69=S$68,S56,0)</f>
        <v>0</v>
      </c>
      <c r="T59" s="139"/>
      <c r="V59" s="16"/>
      <c r="W59" s="138">
        <f>IF($I$69=W$68,W56,0)</f>
        <v>0</v>
      </c>
      <c r="X59" s="140"/>
      <c r="Y59" s="138">
        <f>IF($I$69=Y$68,Y56,0)</f>
        <v>0</v>
      </c>
      <c r="Z59" s="139"/>
      <c r="AC59" s="138">
        <f>IF($I$69=AC$68,AC56,0)</f>
        <v>0</v>
      </c>
      <c r="AD59" s="140"/>
      <c r="AE59" s="138">
        <f>IF($I$69=AE$68,AE56,0)</f>
        <v>0</v>
      </c>
      <c r="AF59" s="139"/>
      <c r="AI59" s="138">
        <f>IF($I$69=AI$68,AI56,0)</f>
        <v>0</v>
      </c>
      <c r="AJ59" s="140"/>
      <c r="AK59" s="138">
        <f>IF($I$69=AK$68,AK56,0)</f>
        <v>0</v>
      </c>
      <c r="AL59" s="139"/>
      <c r="AN59" s="16"/>
      <c r="AO59" s="138">
        <f>IF($I$69=AO$68,AO56,0)</f>
        <v>0</v>
      </c>
      <c r="AP59" s="140"/>
      <c r="AQ59" s="138">
        <f>IF($I$69=AQ$68,AQ56,0)</f>
        <v>0</v>
      </c>
      <c r="AR59" s="139"/>
      <c r="AT59" s="16"/>
      <c r="AU59" s="138">
        <f>IF($I$69=AU$68,AU56,0)</f>
        <v>0</v>
      </c>
      <c r="AV59" s="265"/>
      <c r="AW59" s="138">
        <f>IF($I$69=AW$68,AW56,0)</f>
        <v>0</v>
      </c>
      <c r="AX59" s="139"/>
      <c r="AY59" s="266"/>
      <c r="AZ59" s="16"/>
    </row>
    <row r="60" spans="1:54" s="5" customFormat="1" ht="15.75" hidden="1" thickBot="1" x14ac:dyDescent="0.3">
      <c r="A60" s="168" t="s">
        <v>123</v>
      </c>
      <c r="B60" s="169"/>
      <c r="C60" s="170"/>
      <c r="D60" s="178"/>
      <c r="H60" s="14" t="s">
        <v>77</v>
      </c>
      <c r="I60" s="193">
        <f>SUM(K60:KT60)</f>
        <v>0</v>
      </c>
      <c r="J60" s="194"/>
      <c r="K60" s="140"/>
      <c r="L60" s="140"/>
      <c r="M60" s="138"/>
      <c r="N60" s="140"/>
      <c r="O60" s="138">
        <f>IF($I$69=M$68,O56,0)</f>
        <v>0</v>
      </c>
      <c r="P60" s="139"/>
      <c r="Q60" s="138"/>
      <c r="R60" s="140"/>
      <c r="S60" s="138"/>
      <c r="T60" s="140"/>
      <c r="U60" s="138">
        <f>IF($I$69=S$68,U56,0)</f>
        <v>0</v>
      </c>
      <c r="V60" s="139"/>
      <c r="W60" s="140"/>
      <c r="X60" s="140"/>
      <c r="Y60" s="138"/>
      <c r="Z60" s="140"/>
      <c r="AA60" s="138">
        <f>IF($I$69=Y$68,AA56,0)</f>
        <v>0</v>
      </c>
      <c r="AB60" s="139"/>
      <c r="AC60" s="140"/>
      <c r="AD60" s="140"/>
      <c r="AE60" s="138"/>
      <c r="AF60" s="140"/>
      <c r="AG60" s="138">
        <f>IF($I$69=AE$68,AG56,0)</f>
        <v>0</v>
      </c>
      <c r="AH60" s="139"/>
      <c r="AI60" s="138"/>
      <c r="AJ60" s="140"/>
      <c r="AK60" s="138"/>
      <c r="AL60" s="139"/>
      <c r="AM60" s="138">
        <f>IF($I$69=AK$68,AM56,0)</f>
        <v>0</v>
      </c>
      <c r="AN60" s="139"/>
      <c r="AO60" s="138"/>
      <c r="AP60" s="140"/>
      <c r="AQ60" s="138"/>
      <c r="AR60" s="139"/>
      <c r="AS60" s="138">
        <f>IF($I$69=AQ$68,AS56,0)</f>
        <v>0</v>
      </c>
      <c r="AT60" s="139"/>
      <c r="AU60" s="138"/>
      <c r="AV60" s="265"/>
      <c r="AW60" s="138"/>
      <c r="AX60" s="265"/>
      <c r="AY60" s="138">
        <f>IF($I$69=AW$68,AY56,0)</f>
        <v>0</v>
      </c>
      <c r="AZ60" s="139"/>
    </row>
    <row r="61" spans="1:54" s="5" customFormat="1" hidden="1" x14ac:dyDescent="0.25">
      <c r="A61" s="66"/>
      <c r="B61" s="66"/>
      <c r="C61" s="66"/>
      <c r="D61" s="34"/>
      <c r="E61" s="22"/>
      <c r="F61" s="22"/>
      <c r="I61" s="14"/>
      <c r="J61" s="38"/>
      <c r="L61" s="16"/>
      <c r="N61" s="16"/>
      <c r="P61" s="16"/>
      <c r="Q61" s="15"/>
      <c r="R61" s="16"/>
      <c r="T61" s="16"/>
      <c r="V61" s="16"/>
      <c r="X61" s="16"/>
      <c r="Z61" s="16"/>
      <c r="AB61" s="16"/>
      <c r="AD61" s="16"/>
      <c r="AF61" s="16"/>
      <c r="AH61" s="16"/>
      <c r="AI61" s="15"/>
      <c r="AJ61" s="16"/>
      <c r="AL61" s="16"/>
      <c r="AN61" s="16"/>
      <c r="AO61" s="15"/>
      <c r="AP61" s="16"/>
      <c r="AR61" s="16"/>
      <c r="AT61" s="16"/>
      <c r="AU61" s="15"/>
      <c r="AV61" s="16"/>
      <c r="AW61" s="266"/>
      <c r="AX61" s="16"/>
      <c r="AY61" s="266"/>
      <c r="AZ61" s="16"/>
    </row>
    <row r="62" spans="1:54" s="5" customFormat="1" hidden="1" x14ac:dyDescent="0.25">
      <c r="I62" s="14" t="s">
        <v>64</v>
      </c>
      <c r="K62" s="138">
        <v>6.5</v>
      </c>
      <c r="L62" s="139"/>
      <c r="M62" s="138">
        <v>6.5</v>
      </c>
      <c r="N62" s="140"/>
      <c r="O62" s="140"/>
      <c r="P62" s="139"/>
      <c r="Q62" s="138">
        <v>0.1</v>
      </c>
      <c r="R62" s="139"/>
      <c r="S62" s="138">
        <v>0.1</v>
      </c>
      <c r="T62" s="140"/>
      <c r="U62" s="140"/>
      <c r="V62" s="139"/>
      <c r="W62" s="138">
        <v>6.5</v>
      </c>
      <c r="X62" s="139"/>
      <c r="Y62" s="138">
        <v>6.5</v>
      </c>
      <c r="Z62" s="140"/>
      <c r="AA62" s="140"/>
      <c r="AB62" s="139"/>
      <c r="AC62" s="138">
        <v>12</v>
      </c>
      <c r="AD62" s="139"/>
      <c r="AE62" s="138">
        <v>12</v>
      </c>
      <c r="AF62" s="140"/>
      <c r="AG62" s="140"/>
      <c r="AH62" s="139"/>
      <c r="AI62" s="138">
        <v>4</v>
      </c>
      <c r="AJ62" s="139"/>
      <c r="AK62" s="138">
        <v>4</v>
      </c>
      <c r="AL62" s="140"/>
      <c r="AM62" s="140"/>
      <c r="AN62" s="139"/>
      <c r="AO62" s="138"/>
      <c r="AP62" s="139"/>
      <c r="AQ62" s="138">
        <v>8.4</v>
      </c>
      <c r="AR62" s="140"/>
      <c r="AS62" s="140"/>
      <c r="AT62" s="139"/>
      <c r="AU62" s="138">
        <v>0</v>
      </c>
      <c r="AV62" s="139"/>
      <c r="AW62" s="138">
        <v>0</v>
      </c>
      <c r="AX62" s="265"/>
      <c r="AY62" s="265"/>
      <c r="AZ62" s="139"/>
    </row>
    <row r="63" spans="1:54" s="5" customFormat="1" hidden="1" x14ac:dyDescent="0.25">
      <c r="A63" s="13"/>
      <c r="I63" s="14" t="s">
        <v>63</v>
      </c>
      <c r="K63" s="138">
        <v>1.03</v>
      </c>
      <c r="L63" s="139"/>
      <c r="M63" s="138">
        <v>4</v>
      </c>
      <c r="N63" s="140"/>
      <c r="O63" s="140"/>
      <c r="P63" s="139"/>
      <c r="Q63" s="138">
        <v>0.1</v>
      </c>
      <c r="R63" s="139"/>
      <c r="S63" s="138">
        <v>0.1</v>
      </c>
      <c r="T63" s="140"/>
      <c r="U63" s="140"/>
      <c r="V63" s="139"/>
      <c r="W63" s="138">
        <v>2.5</v>
      </c>
      <c r="X63" s="139"/>
      <c r="Y63" s="138">
        <v>2.5</v>
      </c>
      <c r="Z63" s="140"/>
      <c r="AA63" s="140"/>
      <c r="AB63" s="139"/>
      <c r="AC63" s="138">
        <v>12</v>
      </c>
      <c r="AD63" s="139"/>
      <c r="AE63" s="138">
        <v>12</v>
      </c>
      <c r="AF63" s="140"/>
      <c r="AG63" s="140"/>
      <c r="AH63" s="139"/>
      <c r="AI63" s="138">
        <v>0.7</v>
      </c>
      <c r="AJ63" s="139"/>
      <c r="AK63" s="138">
        <v>4</v>
      </c>
      <c r="AL63" s="140"/>
      <c r="AM63" s="140"/>
      <c r="AN63" s="139"/>
      <c r="AO63" s="138"/>
      <c r="AP63" s="139"/>
      <c r="AQ63" s="138">
        <v>4</v>
      </c>
      <c r="AR63" s="140"/>
      <c r="AS63" s="140"/>
      <c r="AT63" s="139"/>
      <c r="AU63" s="138">
        <v>1</v>
      </c>
      <c r="AV63" s="139"/>
      <c r="AW63" s="138">
        <v>1</v>
      </c>
      <c r="AX63" s="265"/>
      <c r="AY63" s="265"/>
      <c r="AZ63" s="139"/>
    </row>
    <row r="64" spans="1:54" s="5" customFormat="1" hidden="1" x14ac:dyDescent="0.25">
      <c r="A64" s="13"/>
      <c r="I64" s="14" t="s">
        <v>61</v>
      </c>
      <c r="K64" s="138">
        <v>1.45</v>
      </c>
      <c r="L64" s="139"/>
      <c r="M64" s="138">
        <v>0.75</v>
      </c>
      <c r="N64" s="140"/>
      <c r="O64" s="140"/>
      <c r="P64" s="139"/>
      <c r="Q64" s="138">
        <v>-1.4</v>
      </c>
      <c r="R64" s="139"/>
      <c r="S64" s="138">
        <v>-0.55000000000000004</v>
      </c>
      <c r="T64" s="140"/>
      <c r="U64" s="140"/>
      <c r="V64" s="139"/>
      <c r="W64" s="138">
        <v>1.45</v>
      </c>
      <c r="X64" s="139"/>
      <c r="Y64" s="138">
        <v>0.75</v>
      </c>
      <c r="Z64" s="140"/>
      <c r="AA64" s="140"/>
      <c r="AB64" s="139"/>
      <c r="AC64" s="138">
        <v>1.45</v>
      </c>
      <c r="AD64" s="139"/>
      <c r="AE64" s="138">
        <v>0.75</v>
      </c>
      <c r="AF64" s="140"/>
      <c r="AG64" s="140"/>
      <c r="AH64" s="139"/>
      <c r="AI64" s="138">
        <v>-6.6</v>
      </c>
      <c r="AJ64" s="139"/>
      <c r="AK64" s="138">
        <v>-6.6</v>
      </c>
      <c r="AL64" s="140"/>
      <c r="AM64" s="140"/>
      <c r="AN64" s="139"/>
      <c r="AO64" s="138"/>
      <c r="AP64" s="139"/>
      <c r="AQ64" s="138" t="s">
        <v>67</v>
      </c>
      <c r="AR64" s="140"/>
      <c r="AS64" s="140"/>
      <c r="AT64" s="139"/>
      <c r="AU64" s="138">
        <v>1.45</v>
      </c>
      <c r="AV64" s="139"/>
      <c r="AW64" s="138">
        <v>0.75</v>
      </c>
      <c r="AX64" s="265"/>
      <c r="AY64" s="265"/>
      <c r="AZ64" s="139"/>
    </row>
    <row r="65" spans="1:52" s="5" customFormat="1" hidden="1" x14ac:dyDescent="0.25">
      <c r="A65" s="13"/>
      <c r="I65" s="14" t="s">
        <v>66</v>
      </c>
      <c r="J65" s="5">
        <v>0</v>
      </c>
      <c r="K65" s="138" t="s">
        <v>67</v>
      </c>
      <c r="L65" s="139"/>
      <c r="M65" s="138">
        <f>$J$65</f>
        <v>0</v>
      </c>
      <c r="N65" s="140"/>
      <c r="O65" s="140"/>
      <c r="P65" s="139"/>
      <c r="Q65" s="138" t="s">
        <v>67</v>
      </c>
      <c r="R65" s="139"/>
      <c r="S65" s="138">
        <f>$J$65</f>
        <v>0</v>
      </c>
      <c r="T65" s="140"/>
      <c r="U65" s="140"/>
      <c r="V65" s="139"/>
      <c r="W65" s="138" t="s">
        <v>67</v>
      </c>
      <c r="X65" s="139"/>
      <c r="Y65" s="138">
        <f>$J$65</f>
        <v>0</v>
      </c>
      <c r="Z65" s="140"/>
      <c r="AA65" s="140"/>
      <c r="AB65" s="139"/>
      <c r="AC65" s="138" t="s">
        <v>67</v>
      </c>
      <c r="AD65" s="139"/>
      <c r="AE65" s="138">
        <f>$J$65</f>
        <v>0</v>
      </c>
      <c r="AF65" s="140"/>
      <c r="AG65" s="140"/>
      <c r="AH65" s="139"/>
      <c r="AI65" s="138" t="s">
        <v>67</v>
      </c>
      <c r="AJ65" s="139"/>
      <c r="AK65" s="138">
        <f>$J$65</f>
        <v>0</v>
      </c>
      <c r="AL65" s="140"/>
      <c r="AM65" s="140"/>
      <c r="AN65" s="139"/>
      <c r="AO65" s="138" t="s">
        <v>67</v>
      </c>
      <c r="AP65" s="139"/>
      <c r="AQ65" s="138">
        <f>$J$65</f>
        <v>0</v>
      </c>
      <c r="AR65" s="140"/>
      <c r="AS65" s="140"/>
      <c r="AT65" s="139"/>
      <c r="AU65" s="138" t="s">
        <v>67</v>
      </c>
      <c r="AV65" s="139"/>
      <c r="AW65" s="138">
        <f>$J$65</f>
        <v>0</v>
      </c>
      <c r="AX65" s="265"/>
      <c r="AY65" s="265"/>
      <c r="AZ65" s="139"/>
    </row>
    <row r="66" spans="1:52" s="5" customFormat="1" hidden="1" x14ac:dyDescent="0.25">
      <c r="A66" s="13"/>
      <c r="I66" s="14" t="s">
        <v>70</v>
      </c>
      <c r="K66" s="138">
        <v>2</v>
      </c>
      <c r="L66" s="139"/>
      <c r="M66" s="138">
        <v>2</v>
      </c>
      <c r="N66" s="139"/>
      <c r="O66" s="140">
        <v>1</v>
      </c>
      <c r="P66" s="139"/>
      <c r="Q66" s="138">
        <v>0</v>
      </c>
      <c r="R66" s="139"/>
      <c r="S66" s="138">
        <v>0</v>
      </c>
      <c r="T66" s="139"/>
      <c r="U66" s="140">
        <v>0</v>
      </c>
      <c r="V66" s="139"/>
      <c r="W66" s="138">
        <v>2</v>
      </c>
      <c r="X66" s="139"/>
      <c r="Y66" s="138">
        <v>2</v>
      </c>
      <c r="Z66" s="139"/>
      <c r="AA66" s="140">
        <v>1</v>
      </c>
      <c r="AB66" s="139"/>
      <c r="AC66" s="138">
        <v>1</v>
      </c>
      <c r="AD66" s="139"/>
      <c r="AE66" s="138">
        <v>1</v>
      </c>
      <c r="AF66" s="139"/>
      <c r="AG66" s="140">
        <v>1</v>
      </c>
      <c r="AH66" s="139"/>
      <c r="AI66" s="138">
        <v>1</v>
      </c>
      <c r="AJ66" s="139"/>
      <c r="AK66" s="138">
        <v>1</v>
      </c>
      <c r="AL66" s="139"/>
      <c r="AM66" s="140">
        <v>1</v>
      </c>
      <c r="AN66" s="139"/>
      <c r="AO66" s="138"/>
      <c r="AP66" s="139"/>
      <c r="AQ66" s="138">
        <v>2</v>
      </c>
      <c r="AR66" s="139"/>
      <c r="AS66" s="140">
        <v>2</v>
      </c>
      <c r="AT66" s="139"/>
      <c r="AU66" s="138">
        <v>1</v>
      </c>
      <c r="AV66" s="139"/>
      <c r="AW66" s="138">
        <v>1</v>
      </c>
      <c r="AX66" s="139"/>
      <c r="AY66" s="265">
        <v>1</v>
      </c>
      <c r="AZ66" s="139"/>
    </row>
    <row r="67" spans="1:52" s="5" customFormat="1" hidden="1" x14ac:dyDescent="0.25">
      <c r="A67" s="13"/>
      <c r="I67" s="14" t="s">
        <v>72</v>
      </c>
      <c r="K67" s="138">
        <v>0</v>
      </c>
      <c r="L67" s="139"/>
      <c r="M67" s="138">
        <v>0</v>
      </c>
      <c r="N67" s="139"/>
      <c r="O67" s="140">
        <v>1</v>
      </c>
      <c r="P67" s="139"/>
      <c r="Q67" s="138">
        <v>0</v>
      </c>
      <c r="R67" s="139"/>
      <c r="S67" s="138">
        <v>0</v>
      </c>
      <c r="T67" s="139"/>
      <c r="U67" s="140">
        <v>0</v>
      </c>
      <c r="V67" s="139"/>
      <c r="W67" s="138">
        <v>0</v>
      </c>
      <c r="X67" s="139"/>
      <c r="Y67" s="138">
        <v>0</v>
      </c>
      <c r="Z67" s="139"/>
      <c r="AA67" s="140">
        <v>1</v>
      </c>
      <c r="AB67" s="139"/>
      <c r="AC67" s="138">
        <v>2</v>
      </c>
      <c r="AD67" s="139"/>
      <c r="AE67" s="138">
        <v>2</v>
      </c>
      <c r="AF67" s="139"/>
      <c r="AG67" s="140">
        <v>2</v>
      </c>
      <c r="AH67" s="139"/>
      <c r="AI67" s="138">
        <v>2</v>
      </c>
      <c r="AJ67" s="139"/>
      <c r="AK67" s="138">
        <v>2</v>
      </c>
      <c r="AL67" s="139"/>
      <c r="AM67" s="140">
        <v>2</v>
      </c>
      <c r="AN67" s="139"/>
      <c r="AO67" s="138"/>
      <c r="AP67" s="139"/>
      <c r="AQ67" s="138">
        <v>0</v>
      </c>
      <c r="AR67" s="139"/>
      <c r="AS67" s="140">
        <v>0</v>
      </c>
      <c r="AT67" s="139"/>
      <c r="AU67" s="138">
        <v>0</v>
      </c>
      <c r="AV67" s="139"/>
      <c r="AW67" s="138">
        <v>0</v>
      </c>
      <c r="AX67" s="139"/>
      <c r="AY67" s="265">
        <v>0</v>
      </c>
      <c r="AZ67" s="139"/>
    </row>
    <row r="68" spans="1:52" s="5" customFormat="1" ht="15.75" hidden="1" thickBot="1" x14ac:dyDescent="0.3">
      <c r="A68" s="13"/>
      <c r="G68" s="18" t="s">
        <v>73</v>
      </c>
      <c r="H68" s="19"/>
      <c r="I68" s="19"/>
      <c r="J68" s="20">
        <f>SUM(K69:KT69)</f>
        <v>1</v>
      </c>
      <c r="K68" s="141">
        <v>1</v>
      </c>
      <c r="L68" s="142"/>
      <c r="M68" s="141">
        <f>K68+1</f>
        <v>2</v>
      </c>
      <c r="N68" s="143"/>
      <c r="O68" s="143"/>
      <c r="P68" s="142"/>
      <c r="Q68" s="141">
        <f>M68+1</f>
        <v>3</v>
      </c>
      <c r="R68" s="142"/>
      <c r="S68" s="141">
        <f>Q68+1</f>
        <v>4</v>
      </c>
      <c r="T68" s="143"/>
      <c r="U68" s="143"/>
      <c r="V68" s="142"/>
      <c r="W68" s="141">
        <f>S68+1</f>
        <v>5</v>
      </c>
      <c r="X68" s="142"/>
      <c r="Y68" s="141">
        <f>W68+1</f>
        <v>6</v>
      </c>
      <c r="Z68" s="143"/>
      <c r="AA68" s="143"/>
      <c r="AB68" s="142"/>
      <c r="AC68" s="141">
        <f>Y68+1</f>
        <v>7</v>
      </c>
      <c r="AD68" s="142"/>
      <c r="AE68" s="141">
        <f>AC68+1</f>
        <v>8</v>
      </c>
      <c r="AF68" s="143"/>
      <c r="AG68" s="143"/>
      <c r="AH68" s="142"/>
      <c r="AI68" s="141">
        <f>AE68+1</f>
        <v>9</v>
      </c>
      <c r="AJ68" s="142"/>
      <c r="AK68" s="141">
        <f>AI68+1</f>
        <v>10</v>
      </c>
      <c r="AL68" s="143"/>
      <c r="AM68" s="143"/>
      <c r="AN68" s="142"/>
      <c r="AO68" s="141">
        <f>AK68+1</f>
        <v>11</v>
      </c>
      <c r="AP68" s="142"/>
      <c r="AQ68" s="141">
        <f>AO68+1</f>
        <v>12</v>
      </c>
      <c r="AR68" s="143"/>
      <c r="AS68" s="143"/>
      <c r="AT68" s="142"/>
      <c r="AU68" s="141">
        <f>AQ68+1</f>
        <v>13</v>
      </c>
      <c r="AV68" s="142"/>
      <c r="AW68" s="141">
        <f>AU68+1</f>
        <v>14</v>
      </c>
      <c r="AX68" s="143"/>
      <c r="AY68" s="143"/>
      <c r="AZ68" s="142"/>
    </row>
    <row r="69" spans="1:52" s="5" customFormat="1" ht="15.75" hidden="1" thickBot="1" x14ac:dyDescent="0.3">
      <c r="G69" s="17"/>
      <c r="H69" s="21" t="s">
        <v>74</v>
      </c>
      <c r="I69" s="193">
        <f>IF($E$80=0,SUM(K69:KT69),0)</f>
        <v>1</v>
      </c>
      <c r="J69" s="194"/>
      <c r="K69" s="146">
        <f>IF($E$21=$A$95,0,IF($E$15=$D91,K68,0))</f>
        <v>1</v>
      </c>
      <c r="L69" s="145"/>
      <c r="M69" s="144">
        <f>IF($E$21=$A$95,IF($E$15=$D91,M68,0),0)</f>
        <v>0</v>
      </c>
      <c r="N69" s="146"/>
      <c r="O69" s="146"/>
      <c r="P69" s="145"/>
      <c r="Q69" s="144">
        <f>IF($E$21=$A$95,0,IF($E$15=$D92,Q68,0))</f>
        <v>0</v>
      </c>
      <c r="R69" s="145"/>
      <c r="S69" s="144">
        <f>IF($E$21=$A$95,IF($E$15=$D92,S68,0),0)</f>
        <v>0</v>
      </c>
      <c r="T69" s="146"/>
      <c r="U69" s="146"/>
      <c r="V69" s="145"/>
      <c r="W69" s="144">
        <f>IF($E$21=$A$95,0,IF($E$15=$D93,W68,0))</f>
        <v>0</v>
      </c>
      <c r="X69" s="145"/>
      <c r="Y69" s="144">
        <f>IF($E$21=$A$95,IF($E$15=$D93,Y68,0),0)</f>
        <v>0</v>
      </c>
      <c r="Z69" s="146"/>
      <c r="AA69" s="146"/>
      <c r="AB69" s="145"/>
      <c r="AC69" s="144">
        <f>IF($E$21=$A$95,0,IF($E$15=$D94,AC68,0))</f>
        <v>0</v>
      </c>
      <c r="AD69" s="145"/>
      <c r="AE69" s="144">
        <f>IF($E$21=$A$95,IF($E$15=$D94,AE68,0),0)</f>
        <v>0</v>
      </c>
      <c r="AF69" s="146"/>
      <c r="AG69" s="146"/>
      <c r="AH69" s="145"/>
      <c r="AI69" s="144">
        <f>IF($E$21=$A$95,0,IF($E$15=$D95,AI68,0))</f>
        <v>0</v>
      </c>
      <c r="AJ69" s="145"/>
      <c r="AK69" s="144">
        <f>IF($E$21=$A$95,IF($E$15=$D95,AK68,0),0)</f>
        <v>0</v>
      </c>
      <c r="AL69" s="146"/>
      <c r="AM69" s="146"/>
      <c r="AN69" s="145"/>
      <c r="AO69" s="144">
        <f>IF($E$21=$A$95,0,IF($E$15=$D96,AO68,0))</f>
        <v>0</v>
      </c>
      <c r="AP69" s="145"/>
      <c r="AQ69" s="144">
        <f>IF($E$21=$A$95,IF($E$15=$D96,AQ68,0),0)</f>
        <v>0</v>
      </c>
      <c r="AR69" s="146"/>
      <c r="AS69" s="146"/>
      <c r="AT69" s="145"/>
      <c r="AU69" s="144">
        <f>IF($E$21=$A$95,0,IF($E$15=$D97,AU68,0))</f>
        <v>0</v>
      </c>
      <c r="AV69" s="145"/>
      <c r="AW69" s="144">
        <f>IF($E$21=$A$95,IF($E$15=$D97,AW68,0),0)</f>
        <v>0</v>
      </c>
      <c r="AX69" s="146"/>
      <c r="AY69" s="146"/>
      <c r="AZ69" s="145"/>
    </row>
    <row r="70" spans="1:52" s="5" customFormat="1" hidden="1" x14ac:dyDescent="0.25">
      <c r="I70" s="14" t="s">
        <v>79</v>
      </c>
      <c r="K70" s="138">
        <v>8.4499999999999993</v>
      </c>
      <c r="L70" s="139"/>
      <c r="M70" s="147">
        <v>8.4499999999999993</v>
      </c>
      <c r="N70" s="148"/>
      <c r="O70" s="148"/>
      <c r="P70" s="149"/>
      <c r="Q70" s="138">
        <v>2.4500000000000002</v>
      </c>
      <c r="R70" s="139"/>
      <c r="S70" s="147">
        <v>2.4500000000000002</v>
      </c>
      <c r="T70" s="148"/>
      <c r="U70" s="148"/>
      <c r="V70" s="149"/>
      <c r="W70" s="138">
        <v>8.4499999999999993</v>
      </c>
      <c r="X70" s="139"/>
      <c r="Y70" s="147">
        <v>8.4499999999999993</v>
      </c>
      <c r="Z70" s="148"/>
      <c r="AA70" s="148"/>
      <c r="AB70" s="149"/>
      <c r="AC70" s="138">
        <v>13.5</v>
      </c>
      <c r="AD70" s="139"/>
      <c r="AE70" s="147">
        <v>13.5</v>
      </c>
      <c r="AF70" s="148"/>
      <c r="AG70" s="148"/>
      <c r="AH70" s="149"/>
      <c r="AI70" s="138">
        <v>5.5</v>
      </c>
      <c r="AJ70" s="139"/>
      <c r="AK70" s="147">
        <v>5.5</v>
      </c>
      <c r="AL70" s="148"/>
      <c r="AM70" s="148"/>
      <c r="AN70" s="149"/>
      <c r="AO70" s="138"/>
      <c r="AP70" s="139"/>
      <c r="AQ70" s="147">
        <v>8.4</v>
      </c>
      <c r="AR70" s="148"/>
      <c r="AS70" s="148"/>
      <c r="AT70" s="149"/>
      <c r="AU70" s="138">
        <v>9</v>
      </c>
      <c r="AV70" s="139"/>
      <c r="AW70" s="147">
        <v>9</v>
      </c>
      <c r="AX70" s="148"/>
      <c r="AY70" s="148"/>
      <c r="AZ70" s="149"/>
    </row>
    <row r="71" spans="1:52" s="5" customFormat="1" hidden="1" x14ac:dyDescent="0.25">
      <c r="I71" s="14" t="s">
        <v>89</v>
      </c>
      <c r="K71" s="138">
        <v>5.5</v>
      </c>
      <c r="L71" s="139"/>
      <c r="M71" s="138">
        <v>5.5</v>
      </c>
      <c r="N71" s="140"/>
      <c r="O71" s="140"/>
      <c r="P71" s="139"/>
      <c r="Q71" s="138">
        <v>1.1200000000000001</v>
      </c>
      <c r="R71" s="139"/>
      <c r="S71" s="138">
        <v>2.4500000000000002</v>
      </c>
      <c r="T71" s="140"/>
      <c r="U71" s="140"/>
      <c r="V71" s="139"/>
      <c r="W71" s="138">
        <v>2.5</v>
      </c>
      <c r="X71" s="139"/>
      <c r="Y71" s="138">
        <v>2.5</v>
      </c>
      <c r="Z71" s="140"/>
      <c r="AA71" s="140"/>
      <c r="AB71" s="139"/>
      <c r="AC71" s="138">
        <v>12</v>
      </c>
      <c r="AD71" s="139"/>
      <c r="AE71" s="138">
        <v>12</v>
      </c>
      <c r="AF71" s="140"/>
      <c r="AG71" s="140"/>
      <c r="AH71" s="139"/>
      <c r="AI71" s="138">
        <v>2</v>
      </c>
      <c r="AJ71" s="139"/>
      <c r="AK71" s="138">
        <v>5.5</v>
      </c>
      <c r="AL71" s="140"/>
      <c r="AM71" s="140"/>
      <c r="AN71" s="139"/>
      <c r="AO71" s="138">
        <v>0</v>
      </c>
      <c r="AP71" s="139"/>
      <c r="AQ71" s="138">
        <v>4</v>
      </c>
      <c r="AR71" s="140"/>
      <c r="AS71" s="140"/>
      <c r="AT71" s="139"/>
      <c r="AU71" s="138">
        <v>1</v>
      </c>
      <c r="AV71" s="139"/>
      <c r="AW71" s="138">
        <v>1</v>
      </c>
      <c r="AX71" s="265"/>
      <c r="AY71" s="265"/>
      <c r="AZ71" s="139"/>
    </row>
    <row r="72" spans="1:52" s="5" customFormat="1" ht="15.75" hidden="1" thickBot="1" x14ac:dyDescent="0.3">
      <c r="I72" s="14" t="s">
        <v>80</v>
      </c>
      <c r="K72" s="138">
        <f>D55</f>
        <v>2.9</v>
      </c>
      <c r="L72" s="139"/>
      <c r="M72" s="138">
        <f>D55</f>
        <v>2.9</v>
      </c>
      <c r="N72" s="140"/>
      <c r="O72" s="140"/>
      <c r="P72" s="139"/>
      <c r="Q72" s="138">
        <v>0</v>
      </c>
      <c r="R72" s="139"/>
      <c r="S72" s="138">
        <v>0</v>
      </c>
      <c r="T72" s="140"/>
      <c r="U72" s="140"/>
      <c r="V72" s="139"/>
      <c r="W72" s="138">
        <f>D55</f>
        <v>2.9</v>
      </c>
      <c r="X72" s="139"/>
      <c r="Y72" s="138">
        <f>D55</f>
        <v>2.9</v>
      </c>
      <c r="Z72" s="140"/>
      <c r="AA72" s="140"/>
      <c r="AB72" s="139"/>
      <c r="AC72" s="138">
        <f>D55</f>
        <v>2.9</v>
      </c>
      <c r="AD72" s="139"/>
      <c r="AE72" s="138">
        <f>D55</f>
        <v>2.9</v>
      </c>
      <c r="AF72" s="140"/>
      <c r="AG72" s="140"/>
      <c r="AH72" s="139"/>
      <c r="AI72" s="138">
        <f>D57</f>
        <v>8</v>
      </c>
      <c r="AJ72" s="139"/>
      <c r="AK72" s="138">
        <f>D57</f>
        <v>8</v>
      </c>
      <c r="AL72" s="140"/>
      <c r="AM72" s="140"/>
      <c r="AN72" s="139"/>
      <c r="AO72" s="138"/>
      <c r="AP72" s="139"/>
      <c r="AQ72" s="138">
        <v>5</v>
      </c>
      <c r="AR72" s="140"/>
      <c r="AS72" s="140"/>
      <c r="AT72" s="139"/>
      <c r="AU72" s="138">
        <f>D55</f>
        <v>2.9</v>
      </c>
      <c r="AV72" s="139"/>
      <c r="AW72" s="138">
        <f>D55</f>
        <v>2.9</v>
      </c>
      <c r="AX72" s="265"/>
      <c r="AY72" s="265"/>
      <c r="AZ72" s="139"/>
    </row>
    <row r="73" spans="1:52" s="5" customFormat="1" ht="15.75" hidden="1" thickBot="1" x14ac:dyDescent="0.3">
      <c r="G73" s="27"/>
      <c r="H73" s="28" t="s">
        <v>81</v>
      </c>
      <c r="I73" s="193">
        <f>SUM(K73:KT73)</f>
        <v>24.549999999999997</v>
      </c>
      <c r="J73" s="194"/>
      <c r="K73" s="186">
        <f>IF($I$69=K68,(($I$57-K66)*$F$84)+K70+K72,0)</f>
        <v>24.549999999999997</v>
      </c>
      <c r="L73" s="139"/>
      <c r="M73" s="138">
        <f>IF($I$69=M68,(($I$57-M66)*$F$84)+M70+M72,0)</f>
        <v>0</v>
      </c>
      <c r="N73" s="139"/>
      <c r="O73" s="138" t="s">
        <v>67</v>
      </c>
      <c r="P73" s="139"/>
      <c r="Q73" s="138">
        <f>IF($I$69=Q68,(($I$57-Q66)*$F$84)+Q70+Q72,0)</f>
        <v>0</v>
      </c>
      <c r="R73" s="139"/>
      <c r="S73" s="138">
        <f>IF($I$69=S68,(($I$57-S66)*$F$84)+S70+S72,0)</f>
        <v>0</v>
      </c>
      <c r="T73" s="139"/>
      <c r="U73" s="138" t="s">
        <v>67</v>
      </c>
      <c r="V73" s="139"/>
      <c r="W73" s="138">
        <f>IF($I$69=W68,(($I$57-W66)*$F$84)+W70+W72,0)</f>
        <v>0</v>
      </c>
      <c r="X73" s="139"/>
      <c r="Y73" s="138">
        <f>IF($I$69=Y68,(($I$57-Y66)*$F$84)+Y70+Y72,0)</f>
        <v>0</v>
      </c>
      <c r="Z73" s="139"/>
      <c r="AA73" s="138" t="s">
        <v>67</v>
      </c>
      <c r="AB73" s="139"/>
      <c r="AC73" s="138">
        <f>IF($I$69=AC68,(($I$57-AC66)*$F$84)+AC70+AC72,0)</f>
        <v>0</v>
      </c>
      <c r="AD73" s="139"/>
      <c r="AE73" s="138">
        <f>IF($I$69=AE68,(($I$57-AE66)*$F$84)+AE70+AE72,0)</f>
        <v>0</v>
      </c>
      <c r="AF73" s="139"/>
      <c r="AG73" s="138" t="s">
        <v>67</v>
      </c>
      <c r="AH73" s="139"/>
      <c r="AI73" s="138">
        <f>IF($I$69=AI68,(($I$57-AI66)*$F$84)+AI70+AI72,0)</f>
        <v>0</v>
      </c>
      <c r="AJ73" s="139"/>
      <c r="AK73" s="138">
        <f>IF($I$69=AK68,(($I$57-AK66)*$F$84)+AK70+AK72,0)</f>
        <v>0</v>
      </c>
      <c r="AL73" s="139"/>
      <c r="AM73" s="138" t="s">
        <v>67</v>
      </c>
      <c r="AN73" s="139"/>
      <c r="AO73" s="138">
        <f>IF($I$69=AO68,(($I$57-AO66)*$F$84)+AO70+AO72,0)</f>
        <v>0</v>
      </c>
      <c r="AP73" s="139"/>
      <c r="AQ73" s="138">
        <f>IF($I$69=AQ68,(($I$57-AQ66)*$F$84)+AQ70+AQ72,0)</f>
        <v>0</v>
      </c>
      <c r="AR73" s="139"/>
      <c r="AS73" s="138" t="s">
        <v>67</v>
      </c>
      <c r="AT73" s="139"/>
      <c r="AU73" s="138">
        <f>IF($I$69=AU68,(($I$57-AU66)*$F$84)+AU70+AU72,0)</f>
        <v>0</v>
      </c>
      <c r="AV73" s="139"/>
      <c r="AW73" s="138">
        <f>IF($I$69=AW68,(($I$57-AW66)*$F$84)+AW70+AW72,0)</f>
        <v>0</v>
      </c>
      <c r="AX73" s="139"/>
      <c r="AY73" s="138" t="s">
        <v>67</v>
      </c>
      <c r="AZ73" s="139"/>
    </row>
    <row r="74" spans="1:52" s="5" customFormat="1" ht="15.75" hidden="1" thickBot="1" x14ac:dyDescent="0.3">
      <c r="H74" s="14" t="s">
        <v>11</v>
      </c>
      <c r="I74" s="193">
        <f>SUM(K74:KT74)</f>
        <v>0</v>
      </c>
      <c r="J74" s="194"/>
      <c r="K74" s="186" t="s">
        <v>67</v>
      </c>
      <c r="L74" s="139"/>
      <c r="M74" s="138" t="s">
        <v>67</v>
      </c>
      <c r="N74" s="139"/>
      <c r="O74" s="138">
        <f>IF($I$69=M69,(($I$58-O66)*$F$84)+M71+M72,0)</f>
        <v>0</v>
      </c>
      <c r="P74" s="139"/>
      <c r="Q74" s="138" t="s">
        <v>67</v>
      </c>
      <c r="R74" s="139"/>
      <c r="S74" s="138" t="s">
        <v>67</v>
      </c>
      <c r="T74" s="139"/>
      <c r="U74" s="138">
        <f>IF($I$69=S69,(($I$58-U66)*$F$84)+S71+S72,0)</f>
        <v>0</v>
      </c>
      <c r="V74" s="139"/>
      <c r="W74" s="138" t="s">
        <v>67</v>
      </c>
      <c r="X74" s="139"/>
      <c r="Y74" s="138" t="s">
        <v>67</v>
      </c>
      <c r="Z74" s="139"/>
      <c r="AA74" s="138">
        <f>IF($I$69=Y69,(($I$58-AA66)*$F$84)+Y71+Y72,0)</f>
        <v>0</v>
      </c>
      <c r="AB74" s="139"/>
      <c r="AC74" s="138" t="s">
        <v>67</v>
      </c>
      <c r="AD74" s="139"/>
      <c r="AE74" s="138" t="s">
        <v>67</v>
      </c>
      <c r="AF74" s="139"/>
      <c r="AG74" s="138">
        <f>IF($I$69=AE69,(($I$58-AG66)*$F$84)+AE71+AE72,0)</f>
        <v>0</v>
      </c>
      <c r="AH74" s="139"/>
      <c r="AI74" s="138" t="s">
        <v>67</v>
      </c>
      <c r="AJ74" s="139"/>
      <c r="AK74" s="138" t="s">
        <v>67</v>
      </c>
      <c r="AL74" s="139"/>
      <c r="AM74" s="138">
        <f>IF($I$69=AK69,(($I$58-AM66)*$F$84)+AK71+AK72,0)</f>
        <v>0</v>
      </c>
      <c r="AN74" s="139"/>
      <c r="AO74" s="138" t="s">
        <v>67</v>
      </c>
      <c r="AP74" s="139"/>
      <c r="AQ74" s="138" t="s">
        <v>67</v>
      </c>
      <c r="AR74" s="139"/>
      <c r="AS74" s="138">
        <f>IF($I$69=AQ69,(($I$58-AS66)*$F$84)+AQ71+AQ72,0)</f>
        <v>0</v>
      </c>
      <c r="AT74" s="139"/>
      <c r="AU74" s="138" t="s">
        <v>67</v>
      </c>
      <c r="AV74" s="139"/>
      <c r="AW74" s="138" t="s">
        <v>67</v>
      </c>
      <c r="AX74" s="139"/>
      <c r="AY74" s="138">
        <f>IF($I$69=AW69,(($I$58-AY66)*$F$84)+AW71+AW72,0)</f>
        <v>0</v>
      </c>
      <c r="AZ74" s="139"/>
    </row>
    <row r="75" spans="1:52" s="5" customFormat="1" hidden="1" x14ac:dyDescent="0.25">
      <c r="I75" s="14" t="s">
        <v>88</v>
      </c>
      <c r="K75" s="138">
        <f>((K56-K66)*$F$84)+K70+K71+K72</f>
        <v>30.049999999999997</v>
      </c>
      <c r="L75" s="139"/>
      <c r="M75" s="138">
        <f>((M56+O56-O66-M66)*$F$84)+M70+M71+(M72*2)</f>
        <v>34.049999999999997</v>
      </c>
      <c r="N75" s="140"/>
      <c r="O75" s="140"/>
      <c r="P75" s="140"/>
      <c r="Q75" s="138">
        <f>((Q56-Q66-1)*$F$84)+Q70+Q71+Q72</f>
        <v>17.87</v>
      </c>
      <c r="R75" s="139"/>
      <c r="S75" s="138">
        <f>((S56+U56-U66-S66-2)*$F$84)+S70+S71+(S72*2)</f>
        <v>20.3</v>
      </c>
      <c r="T75" s="140"/>
      <c r="U75" s="140"/>
      <c r="V75" s="139"/>
      <c r="W75" s="138">
        <f>((W56-W66)*$F$84)+W70+W71+W72</f>
        <v>27.049999999999997</v>
      </c>
      <c r="X75" s="139"/>
      <c r="Y75" s="138">
        <f>((Y56+AA56-AA66-Y66)*$F$84)+Y70+Y71+(Y72*2)</f>
        <v>31.05</v>
      </c>
      <c r="Z75" s="140"/>
      <c r="AA75" s="140"/>
      <c r="AB75" s="140"/>
      <c r="AC75" s="138">
        <f>((AC56-AC66)*$F$84)+AC70+AC71+AC72</f>
        <v>42.699999999999996</v>
      </c>
      <c r="AD75" s="139"/>
      <c r="AE75" s="138">
        <f>((AE56+AG56-AG66-AE66)*$F$84)+AE70+AE71+(AE72*2)</f>
        <v>46.7</v>
      </c>
      <c r="AF75" s="140"/>
      <c r="AG75" s="140"/>
      <c r="AH75" s="140"/>
      <c r="AI75" s="138">
        <f>((AI56-AI66)*$F$84)+AI70+AI71+AI72</f>
        <v>32</v>
      </c>
      <c r="AJ75" s="139"/>
      <c r="AK75" s="138">
        <f>((AK56+AM56-AM66-AK66)*$F$84)+AK70+AK71+(AK72*2)</f>
        <v>42.400000000000006</v>
      </c>
      <c r="AL75" s="140"/>
      <c r="AM75" s="140"/>
      <c r="AN75" s="139"/>
      <c r="AO75" s="138">
        <f>((AO56-AO66)*$F$84)+AO70+AO71+AO72</f>
        <v>0</v>
      </c>
      <c r="AP75" s="139"/>
      <c r="AQ75" s="138">
        <f>((AQ56+AS56-AS66-AQ66)*$F$84)+AQ70+AQ71+AQ72</f>
        <v>35</v>
      </c>
      <c r="AR75" s="140"/>
      <c r="AS75" s="140"/>
      <c r="AT75" s="139"/>
      <c r="AU75" s="138">
        <f>((AU56-AU66)*$F$84)+AU70+AU71+AU72</f>
        <v>27.2</v>
      </c>
      <c r="AV75" s="139"/>
      <c r="AW75" s="138">
        <f>((AW56+AY56-AY66-AW66)*$F$84)+AW70+AW71+(AW72*2)</f>
        <v>31.200000000000003</v>
      </c>
      <c r="AX75" s="265"/>
      <c r="AY75" s="265"/>
      <c r="AZ75" s="139"/>
    </row>
    <row r="76" spans="1:52" s="5" customFormat="1" ht="15.75" hidden="1" thickBot="1" x14ac:dyDescent="0.3">
      <c r="I76" s="14" t="s">
        <v>106</v>
      </c>
      <c r="K76" s="138">
        <f>IF($J$68=K68,IF(K75&gt;$E$17,1,0),0)</f>
        <v>0</v>
      </c>
      <c r="L76" s="139"/>
      <c r="M76" s="138">
        <f>IF($J$68=M68,IF(M75&gt;$E$17,1,0),0)</f>
        <v>0</v>
      </c>
      <c r="N76" s="140"/>
      <c r="O76" s="140"/>
      <c r="P76" s="139"/>
      <c r="Q76" s="138">
        <f>IF($J$68=Q68,IF(Q75&gt;$E$17,1,0),0)</f>
        <v>0</v>
      </c>
      <c r="R76" s="139"/>
      <c r="S76" s="138">
        <f>IF($J$68=S68,IF(S75&gt;$E$17,1,0),0)</f>
        <v>0</v>
      </c>
      <c r="T76" s="140"/>
      <c r="U76" s="140"/>
      <c r="V76" s="139"/>
      <c r="W76" s="138">
        <f>IF($J$68=W68,IF(W75&gt;$E$17,1,0),0)</f>
        <v>0</v>
      </c>
      <c r="X76" s="139"/>
      <c r="Y76" s="138">
        <f>IF($J$68=Y68,IF(Y75&gt;$E$17,1,0),0)</f>
        <v>0</v>
      </c>
      <c r="Z76" s="140"/>
      <c r="AA76" s="140"/>
      <c r="AB76" s="139"/>
      <c r="AC76" s="138">
        <f>IF($J$68=AC68,IF(AC75&gt;$E$17,1,0),0)</f>
        <v>0</v>
      </c>
      <c r="AD76" s="139"/>
      <c r="AE76" s="138">
        <f>IF($J$68=AE68,IF(AE75&gt;$E$17,1,0),0)</f>
        <v>0</v>
      </c>
      <c r="AF76" s="140"/>
      <c r="AG76" s="140"/>
      <c r="AH76" s="139"/>
      <c r="AI76" s="138">
        <f>IF($J$68=AI68,IF(AI75&gt;$E$17,1,0),0)</f>
        <v>0</v>
      </c>
      <c r="AJ76" s="139"/>
      <c r="AK76" s="138">
        <f>IF($J$68=AK68,IF(AK75&gt;$E$17,1,0),0)</f>
        <v>0</v>
      </c>
      <c r="AL76" s="140"/>
      <c r="AM76" s="140"/>
      <c r="AN76" s="139"/>
      <c r="AO76" s="138">
        <f>IF($J$68=AO68,IF(AO75&gt;$E$17,1,0),0)</f>
        <v>0</v>
      </c>
      <c r="AP76" s="139"/>
      <c r="AQ76" s="138">
        <f>IF($J$68=AQ68,IF(AQ75&gt;$E$17,1,0),0)</f>
        <v>0</v>
      </c>
      <c r="AR76" s="140"/>
      <c r="AS76" s="140"/>
      <c r="AT76" s="139"/>
      <c r="AU76" s="138">
        <f>IF($J$68=AU68,IF(AU75&gt;$E$17,1,0),0)</f>
        <v>0</v>
      </c>
      <c r="AV76" s="139"/>
      <c r="AW76" s="138">
        <f>IF($J$68=AW68,IF(AW75&gt;$E$17,1,0),0)</f>
        <v>0</v>
      </c>
      <c r="AX76" s="265"/>
      <c r="AY76" s="265"/>
      <c r="AZ76" s="139"/>
    </row>
    <row r="77" spans="1:52" s="5" customFormat="1" hidden="1" x14ac:dyDescent="0.25">
      <c r="D77" s="192" t="s">
        <v>115</v>
      </c>
      <c r="E77" s="192"/>
      <c r="F77" s="192"/>
      <c r="G77" s="192"/>
      <c r="H77" s="192"/>
      <c r="I77" s="192"/>
      <c r="J77" s="177">
        <f>SUM(K78:KT78)</f>
        <v>1</v>
      </c>
      <c r="K77" s="140">
        <v>1</v>
      </c>
      <c r="L77" s="140"/>
      <c r="M77" s="140"/>
      <c r="N77" s="140"/>
      <c r="O77" s="140"/>
      <c r="P77" s="139"/>
      <c r="Q77" s="138">
        <v>2</v>
      </c>
      <c r="R77" s="140"/>
      <c r="S77" s="140"/>
      <c r="T77" s="140"/>
      <c r="U77" s="140"/>
      <c r="V77" s="139"/>
      <c r="W77" s="140">
        <v>1</v>
      </c>
      <c r="X77" s="140"/>
      <c r="Y77" s="140"/>
      <c r="Z77" s="140"/>
      <c r="AA77" s="140"/>
      <c r="AB77" s="139"/>
      <c r="AC77" s="140">
        <v>1</v>
      </c>
      <c r="AD77" s="140"/>
      <c r="AE77" s="140"/>
      <c r="AF77" s="140"/>
      <c r="AG77" s="140"/>
      <c r="AH77" s="139"/>
      <c r="AI77" s="138">
        <v>3</v>
      </c>
      <c r="AJ77" s="140"/>
      <c r="AK77" s="140"/>
      <c r="AL77" s="140"/>
      <c r="AM77" s="140"/>
      <c r="AN77" s="139"/>
      <c r="AO77" s="138">
        <v>1</v>
      </c>
      <c r="AP77" s="140"/>
      <c r="AQ77" s="140"/>
      <c r="AR77" s="140"/>
      <c r="AS77" s="140"/>
      <c r="AT77" s="139"/>
      <c r="AU77" s="138">
        <v>1</v>
      </c>
      <c r="AV77" s="265"/>
      <c r="AW77" s="265"/>
      <c r="AX77" s="265"/>
      <c r="AY77" s="265"/>
      <c r="AZ77" s="139"/>
    </row>
    <row r="78" spans="1:52" s="5" customFormat="1" ht="15.75" hidden="1" thickBot="1" x14ac:dyDescent="0.3">
      <c r="D78" s="192"/>
      <c r="E78" s="192"/>
      <c r="F78" s="192"/>
      <c r="G78" s="192"/>
      <c r="H78" s="192"/>
      <c r="I78" s="192"/>
      <c r="J78" s="178"/>
      <c r="K78" s="140">
        <f>IF($I$69=K68,K77,IF($I$69=M68,K77,0))</f>
        <v>1</v>
      </c>
      <c r="L78" s="140"/>
      <c r="M78" s="140"/>
      <c r="N78" s="140"/>
      <c r="O78" s="140"/>
      <c r="P78" s="139"/>
      <c r="Q78" s="138">
        <f>IF($I$69=Q68,Q77,IF($I$69=S68,Q77,0))</f>
        <v>0</v>
      </c>
      <c r="R78" s="140"/>
      <c r="S78" s="140"/>
      <c r="T78" s="140"/>
      <c r="U78" s="140"/>
      <c r="V78" s="139"/>
      <c r="W78" s="140">
        <f>IF($I$69=W68,W77,IF($I$69=Y68,W77,0))</f>
        <v>0</v>
      </c>
      <c r="X78" s="140"/>
      <c r="Y78" s="140"/>
      <c r="Z78" s="140"/>
      <c r="AA78" s="140"/>
      <c r="AB78" s="139"/>
      <c r="AC78" s="140">
        <f>IF($I$69=AC68,AC77,IF($I$69=AE68,AC77,0))</f>
        <v>0</v>
      </c>
      <c r="AD78" s="140"/>
      <c r="AE78" s="140"/>
      <c r="AF78" s="140"/>
      <c r="AG78" s="140"/>
      <c r="AH78" s="139"/>
      <c r="AI78" s="138">
        <f>IF($I$69=AI68,AI77,IF($I$69=AK68,AI77,0))</f>
        <v>0</v>
      </c>
      <c r="AJ78" s="140"/>
      <c r="AK78" s="140"/>
      <c r="AL78" s="140"/>
      <c r="AM78" s="140"/>
      <c r="AN78" s="139"/>
      <c r="AO78" s="138">
        <f>IF($I$69=AO68,AO77,IF($I$69=AQ68,AO77,0))</f>
        <v>0</v>
      </c>
      <c r="AP78" s="140"/>
      <c r="AQ78" s="140"/>
      <c r="AR78" s="140"/>
      <c r="AS78" s="140"/>
      <c r="AT78" s="139"/>
      <c r="AU78" s="138">
        <f>IF($I$69=AU68,AU77,IF($I$69=AW68,AU77,0))</f>
        <v>0</v>
      </c>
      <c r="AV78" s="265"/>
      <c r="AW78" s="265"/>
      <c r="AX78" s="265"/>
      <c r="AY78" s="265"/>
      <c r="AZ78" s="139"/>
    </row>
    <row r="79" spans="1:52" s="5" customFormat="1" ht="15.75" hidden="1" thickBot="1" x14ac:dyDescent="0.3">
      <c r="AP79" s="13"/>
      <c r="AZ79" s="14"/>
    </row>
    <row r="80" spans="1:52" s="5" customFormat="1" ht="15.75" hidden="1" thickBot="1" x14ac:dyDescent="0.3">
      <c r="A80" s="203" t="s">
        <v>60</v>
      </c>
      <c r="B80" s="204"/>
      <c r="C80" s="204"/>
      <c r="D80" s="204"/>
      <c r="E80" s="25">
        <f>IF(SUM(A81:C83)+D82+D83&gt;=1,1,0)</f>
        <v>0</v>
      </c>
      <c r="I80" s="48"/>
      <c r="J80" s="153" t="s">
        <v>107</v>
      </c>
      <c r="K80" s="153"/>
      <c r="L80" s="153"/>
      <c r="M80" s="153"/>
      <c r="N80" s="153"/>
      <c r="O80" s="7"/>
      <c r="P80" s="263" t="s">
        <v>108</v>
      </c>
      <c r="Q80" s="264"/>
      <c r="AP80" s="13"/>
      <c r="AZ80" s="14"/>
    </row>
    <row r="81" spans="1:71" s="5" customFormat="1" ht="15.75" hidden="1" thickBot="1" x14ac:dyDescent="0.3">
      <c r="A81" s="23">
        <f>IF(E13="",1,0)</f>
        <v>0</v>
      </c>
      <c r="B81" s="13">
        <f>IF(E15="",1,0)</f>
        <v>0</v>
      </c>
      <c r="C81" s="13">
        <f>IF(E17="",1,IF(D81=TRUE,1,0))</f>
        <v>0</v>
      </c>
      <c r="D81" s="207" t="b">
        <f>ISTEXT(E17)</f>
        <v>0</v>
      </c>
      <c r="E81" s="208"/>
      <c r="F81" s="13"/>
      <c r="I81" s="29"/>
      <c r="J81" s="11">
        <v>5.4</v>
      </c>
      <c r="K81" s="11">
        <v>6</v>
      </c>
      <c r="L81" s="11">
        <v>8</v>
      </c>
      <c r="M81" s="11"/>
      <c r="N81" s="11"/>
      <c r="O81" s="12"/>
      <c r="P81" s="29">
        <v>1.1000000000000001</v>
      </c>
      <c r="Q81" s="12"/>
      <c r="AP81" s="13"/>
      <c r="AZ81" s="14"/>
    </row>
    <row r="82" spans="1:71" s="5" customFormat="1" ht="15.75" hidden="1" thickBot="1" x14ac:dyDescent="0.3">
      <c r="A82" s="23">
        <f>IF(E19="",1,0)</f>
        <v>0</v>
      </c>
      <c r="B82" s="13">
        <f>IF(E21="",1,0)</f>
        <v>0</v>
      </c>
      <c r="C82" s="5">
        <f>IF(SUM(K76:CJ76)=0,0,1)</f>
        <v>0</v>
      </c>
      <c r="E82" s="10"/>
      <c r="I82" s="56">
        <v>8</v>
      </c>
      <c r="J82" s="5">
        <v>4.9000000000000004</v>
      </c>
      <c r="K82" s="5">
        <v>4.5</v>
      </c>
      <c r="L82" s="13">
        <v>0</v>
      </c>
      <c r="M82" s="15">
        <f t="shared" ref="M82:M97" si="16">IF( $E$19 = $A$91, IF( $E$25 = $I82, J82, 0 ), 0 )</f>
        <v>0</v>
      </c>
      <c r="N82" s="5">
        <f t="shared" ref="N82:N97" si="17">IF( $E$19 = $A$92, IF( $E$25 = $I82, K82, 0 ), 0 )</f>
        <v>0</v>
      </c>
      <c r="O82" s="5">
        <f t="shared" ref="O82:O97" si="18">IF( $E$19 = $A$93, IF( $E$25 = $I82, L82, 0 ), 0 )</f>
        <v>0</v>
      </c>
      <c r="P82" s="8">
        <v>7.9</v>
      </c>
      <c r="Q82" s="53">
        <f t="shared" ref="Q82:Q97" si="19">IF($E$25=$I82,P82,0)</f>
        <v>0</v>
      </c>
      <c r="AZ82" s="14"/>
    </row>
    <row r="83" spans="1:71" s="5" customFormat="1" ht="15.75" hidden="1" thickBot="1" x14ac:dyDescent="0.3">
      <c r="A83" s="24">
        <f>IF(AO69=11,1,0)</f>
        <v>0</v>
      </c>
      <c r="B83" s="11">
        <f>IF(E23&gt;E17,1,0)</f>
        <v>0</v>
      </c>
      <c r="C83" s="5">
        <f>IF(E23&lt;0,1,0)</f>
        <v>0</v>
      </c>
      <c r="D83" s="61">
        <f>IF(E15=D96,IF(E23="",1,0),0)</f>
        <v>0</v>
      </c>
      <c r="E83" s="60">
        <f>IF( E25 = "", 1, 0)</f>
        <v>0</v>
      </c>
      <c r="F83" s="27"/>
      <c r="I83" s="56">
        <v>9</v>
      </c>
      <c r="J83" s="5">
        <v>6.25</v>
      </c>
      <c r="K83" s="5">
        <v>5.56</v>
      </c>
      <c r="L83" s="5">
        <v>3.53</v>
      </c>
      <c r="M83" s="15">
        <f t="shared" si="16"/>
        <v>0</v>
      </c>
      <c r="N83" s="5">
        <f t="shared" si="17"/>
        <v>0</v>
      </c>
      <c r="O83" s="5">
        <f t="shared" si="18"/>
        <v>0</v>
      </c>
      <c r="P83" s="8">
        <v>8.91</v>
      </c>
      <c r="Q83" s="53">
        <f t="shared" si="19"/>
        <v>0</v>
      </c>
      <c r="AZ83" s="14"/>
    </row>
    <row r="84" spans="1:71" s="5" customFormat="1" ht="15.75" hidden="1" thickBot="1" x14ac:dyDescent="0.3">
      <c r="A84" s="218" t="s">
        <v>122</v>
      </c>
      <c r="B84" s="219"/>
      <c r="C84" s="220"/>
      <c r="D84" s="205" t="s">
        <v>121</v>
      </c>
      <c r="E84" s="206"/>
      <c r="F84" s="32">
        <f>IF(E13=A98,F85,F86)</f>
        <v>1.1000000000000001</v>
      </c>
      <c r="I84" s="56">
        <v>10</v>
      </c>
      <c r="J84" s="5">
        <v>7.68</v>
      </c>
      <c r="K84" s="5">
        <v>6.94</v>
      </c>
      <c r="L84" s="5">
        <v>5.0999999999999996</v>
      </c>
      <c r="M84" s="15">
        <f t="shared" si="16"/>
        <v>0</v>
      </c>
      <c r="N84" s="5">
        <f t="shared" si="17"/>
        <v>0</v>
      </c>
      <c r="O84" s="5">
        <f t="shared" si="18"/>
        <v>0</v>
      </c>
      <c r="P84" s="8">
        <v>9.92</v>
      </c>
      <c r="Q84" s="53">
        <f t="shared" si="19"/>
        <v>0</v>
      </c>
      <c r="AR84" s="49"/>
      <c r="AS84" s="49"/>
      <c r="AZ84" s="14"/>
    </row>
    <row r="85" spans="1:71" s="5" customFormat="1" ht="15.75" hidden="1" thickBot="1" x14ac:dyDescent="0.3">
      <c r="A85" s="39"/>
      <c r="B85" s="216">
        <f>IF($E$19=A91,B86,IF($E$19=A92,B87,B88+A85))</f>
        <v>7.9129574678536105</v>
      </c>
      <c r="C85" s="217"/>
      <c r="D85" s="8"/>
      <c r="E85" s="14" t="s">
        <v>68</v>
      </c>
      <c r="F85" s="37">
        <v>1.1000000000000001</v>
      </c>
      <c r="I85" s="56">
        <v>11</v>
      </c>
      <c r="J85" s="5">
        <v>8.9700000000000006</v>
      </c>
      <c r="K85" s="5">
        <v>8.3800000000000008</v>
      </c>
      <c r="L85" s="5">
        <v>6.3239999999999998</v>
      </c>
      <c r="M85" s="15">
        <f t="shared" si="16"/>
        <v>0</v>
      </c>
      <c r="N85" s="5">
        <f t="shared" si="17"/>
        <v>0</v>
      </c>
      <c r="O85" s="5">
        <f t="shared" si="18"/>
        <v>0</v>
      </c>
      <c r="P85" s="8">
        <v>10.93</v>
      </c>
      <c r="Q85" s="53">
        <f t="shared" si="19"/>
        <v>0</v>
      </c>
      <c r="W85" s="75"/>
      <c r="X85" s="69"/>
      <c r="Y85" s="69"/>
      <c r="AR85" s="49"/>
      <c r="AS85" s="49"/>
      <c r="AZ85" s="14"/>
    </row>
    <row r="86" spans="1:71" s="5" customFormat="1" hidden="1" x14ac:dyDescent="0.25">
      <c r="A86" s="35">
        <v>1</v>
      </c>
      <c r="B86" s="210">
        <f>270/49.5</f>
        <v>5.4545454545454541</v>
      </c>
      <c r="C86" s="211"/>
      <c r="D86" s="201" t="s">
        <v>69</v>
      </c>
      <c r="E86" s="202"/>
      <c r="F86" s="37">
        <v>1.38</v>
      </c>
      <c r="I86" s="56">
        <v>12</v>
      </c>
      <c r="J86" s="5">
        <v>10.199999999999999</v>
      </c>
      <c r="K86" s="5">
        <v>9.69</v>
      </c>
      <c r="L86" s="5">
        <v>7.4</v>
      </c>
      <c r="M86" s="15">
        <f t="shared" si="16"/>
        <v>0</v>
      </c>
      <c r="N86" s="5">
        <f t="shared" si="17"/>
        <v>0</v>
      </c>
      <c r="O86" s="5">
        <f t="shared" si="18"/>
        <v>0</v>
      </c>
      <c r="P86" s="8">
        <v>11.93</v>
      </c>
      <c r="Q86" s="53">
        <f t="shared" si="19"/>
        <v>0</v>
      </c>
      <c r="X86" s="69"/>
      <c r="Y86" s="69"/>
      <c r="AZ86" s="14"/>
    </row>
    <row r="87" spans="1:71" s="1" customFormat="1" ht="15" hidden="1" customHeight="1" x14ac:dyDescent="0.25">
      <c r="A87" s="35">
        <v>0.8</v>
      </c>
      <c r="B87" s="212">
        <f>300/50.6</f>
        <v>5.928853754940711</v>
      </c>
      <c r="C87" s="213"/>
      <c r="D87" s="8"/>
      <c r="E87" s="5"/>
      <c r="F87" s="10"/>
      <c r="H87" s="5"/>
      <c r="I87" s="56">
        <v>13</v>
      </c>
      <c r="J87" s="1">
        <v>11.36</v>
      </c>
      <c r="K87" s="1">
        <v>10.9</v>
      </c>
      <c r="L87" s="1">
        <v>8.73</v>
      </c>
      <c r="M87" s="15">
        <f t="shared" si="16"/>
        <v>0</v>
      </c>
      <c r="N87" s="5">
        <f t="shared" si="17"/>
        <v>0</v>
      </c>
      <c r="O87" s="5">
        <f t="shared" si="18"/>
        <v>0</v>
      </c>
      <c r="P87" s="51">
        <v>12.94</v>
      </c>
      <c r="Q87" s="53">
        <f t="shared" si="19"/>
        <v>0</v>
      </c>
      <c r="X87" s="69"/>
      <c r="Y87" s="69"/>
      <c r="AZ87" s="6"/>
    </row>
    <row r="88" spans="1:71" s="1" customFormat="1" ht="15.75" hidden="1" thickBot="1" x14ac:dyDescent="0.3">
      <c r="A88" s="36">
        <v>0.6</v>
      </c>
      <c r="B88" s="214">
        <f>400/50.55</f>
        <v>7.9129574678536105</v>
      </c>
      <c r="C88" s="215"/>
      <c r="D88" s="29"/>
      <c r="E88" s="11"/>
      <c r="F88" s="12"/>
      <c r="H88" s="50"/>
      <c r="I88" s="56">
        <v>14</v>
      </c>
      <c r="J88" s="1">
        <v>12.5</v>
      </c>
      <c r="K88" s="1">
        <v>12.1</v>
      </c>
      <c r="L88" s="1">
        <v>10.24</v>
      </c>
      <c r="M88" s="15">
        <f t="shared" si="16"/>
        <v>0</v>
      </c>
      <c r="N88" s="5">
        <f t="shared" si="17"/>
        <v>0</v>
      </c>
      <c r="O88" s="5">
        <f t="shared" si="18"/>
        <v>0</v>
      </c>
      <c r="P88" s="51">
        <v>13.94</v>
      </c>
      <c r="Q88" s="53">
        <f t="shared" si="19"/>
        <v>0</v>
      </c>
      <c r="AZ88" s="6"/>
      <c r="BB88" s="22"/>
      <c r="BC88" s="22"/>
      <c r="BF88" s="22"/>
      <c r="BG88" s="22"/>
      <c r="BJ88" s="22"/>
      <c r="BK88" s="22"/>
      <c r="BM88" s="3"/>
      <c r="BN88" s="22"/>
      <c r="BO88" s="22"/>
      <c r="BP88" s="22"/>
      <c r="BQ88" s="22"/>
      <c r="BR88" s="22"/>
      <c r="BS88" s="22"/>
    </row>
    <row r="89" spans="1:71" s="1" customFormat="1" hidden="1" x14ac:dyDescent="0.25">
      <c r="H89" s="47"/>
      <c r="I89" s="56">
        <v>15</v>
      </c>
      <c r="J89" s="1">
        <v>13.6</v>
      </c>
      <c r="K89" s="1">
        <v>13.26</v>
      </c>
      <c r="L89" s="1">
        <v>11.62</v>
      </c>
      <c r="M89" s="15">
        <f t="shared" si="16"/>
        <v>0</v>
      </c>
      <c r="N89" s="5">
        <f t="shared" si="17"/>
        <v>0</v>
      </c>
      <c r="O89" s="5">
        <f t="shared" si="18"/>
        <v>0</v>
      </c>
      <c r="P89" s="51">
        <v>14.95</v>
      </c>
      <c r="Q89" s="53">
        <f>IF($E$25=$I89,P89,0)</f>
        <v>0</v>
      </c>
      <c r="AZ89" s="6"/>
      <c r="BB89" s="22"/>
      <c r="BC89" s="22"/>
      <c r="BF89" s="22"/>
      <c r="BG89" s="22"/>
      <c r="BJ89" s="22"/>
      <c r="BK89" s="22"/>
      <c r="BL89" s="26"/>
      <c r="BM89" s="26"/>
      <c r="BN89" s="22"/>
      <c r="BO89" s="22"/>
      <c r="BR89" s="22"/>
      <c r="BS89" s="22"/>
    </row>
    <row r="90" spans="1:71" s="1" customFormat="1" ht="15.75" hidden="1" thickBot="1" x14ac:dyDescent="0.3">
      <c r="A90" s="171" t="s">
        <v>4</v>
      </c>
      <c r="B90" s="171"/>
      <c r="C90" s="171"/>
      <c r="D90" s="171"/>
      <c r="E90" s="171"/>
      <c r="F90" s="171"/>
      <c r="H90" s="47"/>
      <c r="I90" s="56">
        <v>16</v>
      </c>
      <c r="J90" s="1">
        <v>14.7</v>
      </c>
      <c r="K90" s="1">
        <v>14.39</v>
      </c>
      <c r="L90" s="1">
        <v>12.9</v>
      </c>
      <c r="M90" s="15">
        <f t="shared" si="16"/>
        <v>0</v>
      </c>
      <c r="N90" s="5">
        <f t="shared" si="17"/>
        <v>0</v>
      </c>
      <c r="O90" s="5">
        <f t="shared" si="18"/>
        <v>12.9</v>
      </c>
      <c r="P90" s="51">
        <v>15.95</v>
      </c>
      <c r="Q90" s="53">
        <f t="shared" si="19"/>
        <v>15.95</v>
      </c>
      <c r="AZ90" s="6"/>
      <c r="BB90" s="22"/>
      <c r="BC90" s="22"/>
      <c r="BF90" s="22"/>
      <c r="BG90" s="22"/>
      <c r="BJ90" s="22"/>
      <c r="BK90" s="22"/>
      <c r="BN90" s="22"/>
      <c r="BO90" s="22"/>
      <c r="BR90" s="22"/>
      <c r="BS90" s="22"/>
    </row>
    <row r="91" spans="1:71" s="1" customFormat="1" hidden="1" x14ac:dyDescent="0.25">
      <c r="A91" s="248" t="s">
        <v>41</v>
      </c>
      <c r="B91" s="249"/>
      <c r="C91" s="249"/>
      <c r="D91" s="248" t="s">
        <v>3</v>
      </c>
      <c r="E91" s="249"/>
      <c r="F91" s="253"/>
      <c r="G91" s="33"/>
      <c r="H91" s="47"/>
      <c r="I91" s="56">
        <v>17</v>
      </c>
      <c r="J91" s="1">
        <v>15.8</v>
      </c>
      <c r="K91" s="1">
        <v>15.5</v>
      </c>
      <c r="L91" s="1">
        <v>14.16</v>
      </c>
      <c r="M91" s="15">
        <f t="shared" si="16"/>
        <v>0</v>
      </c>
      <c r="N91" s="5">
        <f t="shared" si="17"/>
        <v>0</v>
      </c>
      <c r="O91" s="5">
        <f t="shared" si="18"/>
        <v>0</v>
      </c>
      <c r="P91" s="51">
        <v>16.95</v>
      </c>
      <c r="Q91" s="53">
        <f t="shared" si="19"/>
        <v>0</v>
      </c>
      <c r="AZ91" s="6"/>
      <c r="BB91" s="22"/>
      <c r="BC91" s="22"/>
      <c r="BF91" s="22"/>
      <c r="BG91" s="22"/>
      <c r="BJ91" s="22"/>
      <c r="BK91" s="22"/>
      <c r="BN91" s="22"/>
      <c r="BO91" s="22"/>
      <c r="BR91" s="22"/>
      <c r="BS91" s="22"/>
    </row>
    <row r="92" spans="1:71" s="1" customFormat="1" hidden="1" x14ac:dyDescent="0.25">
      <c r="A92" s="251" t="s">
        <v>42</v>
      </c>
      <c r="B92" s="171"/>
      <c r="C92" s="171"/>
      <c r="D92" s="251" t="s">
        <v>120</v>
      </c>
      <c r="E92" s="171"/>
      <c r="F92" s="200"/>
      <c r="G92" s="33"/>
      <c r="H92" s="47"/>
      <c r="I92" s="56">
        <v>18</v>
      </c>
      <c r="J92" s="1">
        <v>16.87</v>
      </c>
      <c r="K92" s="1">
        <v>16.600000000000001</v>
      </c>
      <c r="L92" s="1">
        <v>15.4</v>
      </c>
      <c r="M92" s="15">
        <f t="shared" si="16"/>
        <v>0</v>
      </c>
      <c r="N92" s="5">
        <f t="shared" si="17"/>
        <v>0</v>
      </c>
      <c r="O92" s="5">
        <f t="shared" si="18"/>
        <v>0</v>
      </c>
      <c r="P92" s="51">
        <v>17.95</v>
      </c>
      <c r="Q92" s="53">
        <f t="shared" si="19"/>
        <v>0</v>
      </c>
      <c r="AZ92" s="6"/>
      <c r="BB92" s="22"/>
      <c r="BC92" s="22"/>
      <c r="BF92" s="22"/>
      <c r="BG92" s="22"/>
      <c r="BJ92" s="22"/>
      <c r="BK92" s="22"/>
      <c r="BN92" s="22"/>
      <c r="BO92" s="22"/>
      <c r="BR92" s="22"/>
      <c r="BS92" s="22"/>
    </row>
    <row r="93" spans="1:71" s="1" customFormat="1" ht="15.75" hidden="1" thickBot="1" x14ac:dyDescent="0.3">
      <c r="A93" s="250" t="s">
        <v>43</v>
      </c>
      <c r="B93" s="232"/>
      <c r="C93" s="232"/>
      <c r="D93" s="251" t="s">
        <v>141</v>
      </c>
      <c r="E93" s="171"/>
      <c r="F93" s="200"/>
      <c r="G93" s="33"/>
      <c r="H93" s="47"/>
      <c r="I93" s="56">
        <v>19</v>
      </c>
      <c r="J93" s="1">
        <v>17.899999999999999</v>
      </c>
      <c r="K93" s="1">
        <v>17.68</v>
      </c>
      <c r="L93" s="1">
        <v>16.5</v>
      </c>
      <c r="M93" s="15">
        <f t="shared" si="16"/>
        <v>0</v>
      </c>
      <c r="N93" s="5">
        <f t="shared" si="17"/>
        <v>0</v>
      </c>
      <c r="O93" s="5">
        <f t="shared" si="18"/>
        <v>0</v>
      </c>
      <c r="P93" s="51">
        <v>18.96</v>
      </c>
      <c r="Q93" s="53">
        <f t="shared" si="19"/>
        <v>0</v>
      </c>
      <c r="AZ93" s="6"/>
      <c r="BB93" s="22"/>
      <c r="BC93" s="22"/>
      <c r="BF93" s="22"/>
      <c r="BG93" s="22"/>
      <c r="BJ93" s="22"/>
      <c r="BK93" s="22"/>
      <c r="BN93" s="22"/>
      <c r="BO93" s="22"/>
      <c r="BR93" s="22"/>
      <c r="BS93" s="22"/>
    </row>
    <row r="94" spans="1:71" s="1" customFormat="1" ht="15" hidden="1" customHeight="1" x14ac:dyDescent="0.25">
      <c r="A94" s="248" t="s">
        <v>54</v>
      </c>
      <c r="B94" s="249"/>
      <c r="C94" s="249"/>
      <c r="D94" s="251" t="s">
        <v>13</v>
      </c>
      <c r="E94" s="171"/>
      <c r="F94" s="200"/>
      <c r="H94" s="47"/>
      <c r="I94" s="56">
        <v>20</v>
      </c>
      <c r="J94" s="1">
        <v>18.989999999999998</v>
      </c>
      <c r="K94" s="1">
        <v>18.75</v>
      </c>
      <c r="L94" s="1">
        <v>17.68</v>
      </c>
      <c r="M94" s="15">
        <f t="shared" si="16"/>
        <v>0</v>
      </c>
      <c r="N94" s="5">
        <f t="shared" si="17"/>
        <v>0</v>
      </c>
      <c r="O94" s="5">
        <f t="shared" si="18"/>
        <v>0</v>
      </c>
      <c r="P94" s="51">
        <v>19.96</v>
      </c>
      <c r="Q94" s="53">
        <f t="shared" si="19"/>
        <v>0</v>
      </c>
      <c r="AZ94" s="6"/>
      <c r="BB94" s="22"/>
      <c r="BC94" s="22"/>
      <c r="BF94" s="22"/>
      <c r="BG94" s="22"/>
      <c r="BJ94" s="22"/>
      <c r="BK94" s="22"/>
      <c r="BN94" s="22"/>
      <c r="BO94" s="22"/>
      <c r="BR94" s="22"/>
      <c r="BS94" s="22"/>
    </row>
    <row r="95" spans="1:71" s="1" customFormat="1" ht="15.75" hidden="1" thickBot="1" x14ac:dyDescent="0.3">
      <c r="A95" s="250" t="s">
        <v>55</v>
      </c>
      <c r="B95" s="232"/>
      <c r="C95" s="232"/>
      <c r="D95" s="251" t="s">
        <v>58</v>
      </c>
      <c r="E95" s="171"/>
      <c r="F95" s="200"/>
      <c r="H95" s="47"/>
      <c r="I95" s="56">
        <v>21</v>
      </c>
      <c r="J95" s="1">
        <v>20.05</v>
      </c>
      <c r="K95" s="1">
        <v>19.809999999999999</v>
      </c>
      <c r="L95" s="1">
        <v>18.8</v>
      </c>
      <c r="M95" s="15">
        <f t="shared" si="16"/>
        <v>0</v>
      </c>
      <c r="N95" s="5">
        <f t="shared" si="17"/>
        <v>0</v>
      </c>
      <c r="O95" s="5">
        <f t="shared" si="18"/>
        <v>0</v>
      </c>
      <c r="P95" s="51">
        <v>20.96</v>
      </c>
      <c r="Q95" s="53">
        <f t="shared" si="19"/>
        <v>0</v>
      </c>
      <c r="AZ95" s="6"/>
      <c r="BB95" s="22"/>
      <c r="BC95" s="22"/>
      <c r="BF95" s="22"/>
      <c r="BG95" s="22"/>
      <c r="BJ95" s="22"/>
      <c r="BK95" s="22"/>
      <c r="BN95" s="22"/>
      <c r="BO95" s="22"/>
      <c r="BR95" s="22"/>
      <c r="BS95" s="22"/>
    </row>
    <row r="96" spans="1:71" s="1" customFormat="1" hidden="1" x14ac:dyDescent="0.25">
      <c r="A96" s="248" t="s">
        <v>118</v>
      </c>
      <c r="B96" s="249"/>
      <c r="C96" s="249"/>
      <c r="D96" s="251" t="s">
        <v>136</v>
      </c>
      <c r="E96" s="171"/>
      <c r="F96" s="200"/>
      <c r="H96" s="47"/>
      <c r="I96" s="56">
        <v>22</v>
      </c>
      <c r="J96" s="1">
        <v>21.1</v>
      </c>
      <c r="K96" s="1">
        <v>20.87</v>
      </c>
      <c r="L96" s="1">
        <v>19.899999999999999</v>
      </c>
      <c r="M96" s="15">
        <f t="shared" si="16"/>
        <v>0</v>
      </c>
      <c r="N96" s="5">
        <f t="shared" si="17"/>
        <v>0</v>
      </c>
      <c r="O96" s="5">
        <f t="shared" si="18"/>
        <v>0</v>
      </c>
      <c r="P96" s="51">
        <v>21.96</v>
      </c>
      <c r="Q96" s="53">
        <f t="shared" si="19"/>
        <v>0</v>
      </c>
      <c r="AZ96" s="6"/>
      <c r="BB96" s="22"/>
      <c r="BC96" s="22"/>
      <c r="BF96" s="22"/>
      <c r="BG96" s="22"/>
      <c r="BJ96" s="22"/>
      <c r="BK96" s="22"/>
      <c r="BN96" s="22"/>
      <c r="BO96" s="22"/>
      <c r="BR96" s="22"/>
      <c r="BS96" s="22"/>
    </row>
    <row r="97" spans="1:52" s="1" customFormat="1" ht="15.75" hidden="1" thickBot="1" x14ac:dyDescent="0.3">
      <c r="A97" s="250" t="s">
        <v>119</v>
      </c>
      <c r="B97" s="232"/>
      <c r="C97" s="232"/>
      <c r="D97" s="199" t="s">
        <v>144</v>
      </c>
      <c r="E97" s="171"/>
      <c r="F97" s="200"/>
      <c r="H97" s="47"/>
      <c r="I97" s="56">
        <v>23</v>
      </c>
      <c r="J97" s="1">
        <v>22.1</v>
      </c>
      <c r="K97" s="1">
        <v>21.92</v>
      </c>
      <c r="L97" s="1">
        <v>21.03</v>
      </c>
      <c r="M97" s="55">
        <f t="shared" si="16"/>
        <v>0</v>
      </c>
      <c r="N97" s="5">
        <f t="shared" si="17"/>
        <v>0</v>
      </c>
      <c r="O97" s="5">
        <f t="shared" si="18"/>
        <v>0</v>
      </c>
      <c r="P97" s="51">
        <v>22.96</v>
      </c>
      <c r="Q97" s="54">
        <f t="shared" si="19"/>
        <v>0</v>
      </c>
      <c r="AZ97" s="6"/>
    </row>
    <row r="98" spans="1:52" s="1" customFormat="1" ht="15.75" hidden="1" thickBot="1" x14ac:dyDescent="0.3">
      <c r="A98" s="248" t="s">
        <v>1</v>
      </c>
      <c r="B98" s="249"/>
      <c r="C98" s="249"/>
      <c r="D98" s="251"/>
      <c r="E98" s="171"/>
      <c r="F98" s="200"/>
      <c r="H98" s="22"/>
      <c r="I98" s="52"/>
      <c r="J98" s="2"/>
      <c r="K98" s="2"/>
      <c r="L98" s="2"/>
      <c r="M98" s="196">
        <f>IF(E15=D96,ROUNDUP(SUM(M82:O97),0)+5,ROUNDUP(SUM(M82:O97),0))</f>
        <v>13</v>
      </c>
      <c r="N98" s="197"/>
      <c r="O98" s="198"/>
      <c r="P98" s="196">
        <f>IF(E15=D96,ROUNDUP(SUM(Q82:Q97),0)+5,ROUNDUP(SUM(Q82:Q97),0))</f>
        <v>16</v>
      </c>
      <c r="Q98" s="198"/>
      <c r="AZ98" s="6"/>
    </row>
    <row r="99" spans="1:52" s="1" customFormat="1" ht="15.75" hidden="1" thickBot="1" x14ac:dyDescent="0.3">
      <c r="A99" s="250" t="s">
        <v>37</v>
      </c>
      <c r="B99" s="232"/>
      <c r="C99" s="232"/>
      <c r="D99" s="251"/>
      <c r="E99" s="171"/>
      <c r="F99" s="200"/>
      <c r="I99" s="22"/>
      <c r="J99" s="22"/>
      <c r="AZ99" s="6"/>
    </row>
    <row r="100" spans="1:52" s="1" customFormat="1" ht="15" hidden="1" customHeight="1" thickBot="1" x14ac:dyDescent="0.3">
      <c r="D100" s="250"/>
      <c r="E100" s="232"/>
      <c r="F100" s="252"/>
      <c r="AI100" s="5"/>
      <c r="AK100" s="5"/>
      <c r="AZ100" s="6"/>
    </row>
    <row r="101" spans="1:52" s="1" customFormat="1" ht="15" hidden="1" customHeight="1" x14ac:dyDescent="0.25">
      <c r="A101" s="57">
        <v>8</v>
      </c>
      <c r="AB101" s="268">
        <f>IF(E83=1,0,IF($I$69=0,0,IF($I$69=1,AB103,IF($I$69=3,AB105,IF($I$69=5,AB107,IF($I$69=7,AB109,IF($I$69=9,AB111,IF($I$69=2,AB104,IF($I$69=4,AB106,IF($I$69=6,AB108,IF($I$69=8,AB110,IF($I$69=10,AB112,IF($I$69=11,AB113,IF($I$69=12,AB114,IF($I$69=13,AB116,IF($I$69=14,AB117,0))))))))))))))))</f>
        <v>1</v>
      </c>
      <c r="AC101" s="268">
        <f t="shared" ref="AC101:AI101" si="20">IF(F83=1,0,IF($I$69=0,0,IF($I$69=1,AC103,IF($I$69=3,AC105,IF($I$69=5,AC107,IF($I$69=7,AC109,IF($I$69=9,AC111,IF($I$69=2,AC104,IF($I$69=4,AC106,IF($I$69=6,AC108,IF($I$69=8,AC110,IF($I$69=10,AC112,IF($I$69=11,AC113,IF($I$69=12,AC114,IF($I$69=13,AC116,IF($I$69=14,AC117,0))))))))))))))))</f>
        <v>1</v>
      </c>
      <c r="AD101" s="268">
        <f t="shared" si="20"/>
        <v>0</v>
      </c>
      <c r="AE101" s="268">
        <f t="shared" si="20"/>
        <v>0</v>
      </c>
      <c r="AF101" s="268">
        <f t="shared" si="20"/>
        <v>1</v>
      </c>
      <c r="AG101" s="268">
        <f t="shared" si="20"/>
        <v>0</v>
      </c>
      <c r="AH101" s="268">
        <f t="shared" si="20"/>
        <v>0</v>
      </c>
      <c r="AI101" s="268">
        <f t="shared" si="20"/>
        <v>1</v>
      </c>
      <c r="AZ101" s="6"/>
    </row>
    <row r="102" spans="1:52" s="1" customFormat="1" ht="15" hidden="1" customHeight="1" thickBot="1" x14ac:dyDescent="0.3">
      <c r="A102" s="58">
        <v>9</v>
      </c>
      <c r="B102" s="22">
        <v>0</v>
      </c>
      <c r="C102" s="209" t="s">
        <v>25</v>
      </c>
      <c r="D102" s="171"/>
      <c r="E102" s="171"/>
      <c r="I102" s="70"/>
      <c r="J102" s="2">
        <v>1</v>
      </c>
      <c r="K102" s="2">
        <v>2</v>
      </c>
      <c r="L102" s="2">
        <v>3</v>
      </c>
      <c r="M102" s="2">
        <v>4</v>
      </c>
      <c r="N102" s="2">
        <v>5</v>
      </c>
      <c r="O102" s="2">
        <v>6</v>
      </c>
      <c r="P102" s="2">
        <v>7</v>
      </c>
      <c r="Q102" s="2">
        <v>8</v>
      </c>
      <c r="R102" s="2">
        <v>9</v>
      </c>
      <c r="S102" s="2">
        <v>10</v>
      </c>
      <c r="T102" s="2">
        <v>11</v>
      </c>
      <c r="U102" s="2">
        <v>12</v>
      </c>
      <c r="V102" s="2">
        <v>13</v>
      </c>
      <c r="W102" s="2">
        <v>14</v>
      </c>
      <c r="X102" s="2">
        <v>15</v>
      </c>
      <c r="Y102" s="2">
        <v>16</v>
      </c>
      <c r="Z102" s="2">
        <v>17</v>
      </c>
      <c r="AA102" s="2">
        <v>18</v>
      </c>
      <c r="AB102" s="273" t="s">
        <v>44</v>
      </c>
      <c r="AC102" s="119" t="s">
        <v>45</v>
      </c>
      <c r="AD102" s="119" t="s">
        <v>46</v>
      </c>
      <c r="AE102" s="119" t="s">
        <v>47</v>
      </c>
      <c r="AF102" s="119" t="s">
        <v>48</v>
      </c>
      <c r="AG102" s="119" t="s">
        <v>49</v>
      </c>
      <c r="AH102" s="119" t="s">
        <v>90</v>
      </c>
      <c r="AI102" s="274" t="s">
        <v>91</v>
      </c>
      <c r="AK102" s="9"/>
      <c r="AL102" s="9" t="s">
        <v>44</v>
      </c>
      <c r="AZ102" s="6"/>
    </row>
    <row r="103" spans="1:52" s="1" customFormat="1" ht="15" hidden="1" customHeight="1" x14ac:dyDescent="0.25">
      <c r="A103" s="58">
        <v>10</v>
      </c>
      <c r="B103" s="195">
        <v>1</v>
      </c>
      <c r="C103" s="171" t="s">
        <v>111</v>
      </c>
      <c r="D103" s="171"/>
      <c r="E103" s="171"/>
      <c r="H103" s="6"/>
      <c r="I103" s="71" t="s">
        <v>96</v>
      </c>
      <c r="J103" s="1">
        <v>1</v>
      </c>
      <c r="K103" s="1" t="s">
        <v>25</v>
      </c>
      <c r="L103" s="1">
        <v>2</v>
      </c>
      <c r="M103" s="1" t="s">
        <v>25</v>
      </c>
      <c r="N103" s="1" t="s">
        <v>22</v>
      </c>
      <c r="O103" s="1" t="s">
        <v>25</v>
      </c>
      <c r="P103" s="1" t="s">
        <v>22</v>
      </c>
      <c r="Q103" s="1" t="s">
        <v>25</v>
      </c>
      <c r="R103" s="1" t="s">
        <v>22</v>
      </c>
      <c r="S103" s="1" t="s">
        <v>25</v>
      </c>
      <c r="T103" s="1" t="s">
        <v>22</v>
      </c>
      <c r="U103" s="1" t="s">
        <v>25</v>
      </c>
      <c r="V103" s="1" t="s">
        <v>22</v>
      </c>
      <c r="W103" s="1" t="s">
        <v>25</v>
      </c>
      <c r="X103" s="1" t="s">
        <v>22</v>
      </c>
      <c r="Y103" s="1" t="s">
        <v>25</v>
      </c>
      <c r="Z103" s="1">
        <f>I59-1</f>
        <v>13</v>
      </c>
      <c r="AA103" s="1">
        <f>I59</f>
        <v>14</v>
      </c>
      <c r="AB103" s="117">
        <v>1</v>
      </c>
      <c r="AC103" s="22">
        <v>1</v>
      </c>
      <c r="AD103" s="22">
        <v>0</v>
      </c>
      <c r="AE103" s="22">
        <v>0</v>
      </c>
      <c r="AF103" s="22">
        <v>1</v>
      </c>
      <c r="AG103" s="22">
        <v>0</v>
      </c>
      <c r="AH103" s="22">
        <v>0</v>
      </c>
      <c r="AI103" s="118">
        <v>1</v>
      </c>
      <c r="AK103" s="5"/>
      <c r="AL103" s="16"/>
      <c r="AM103" s="5" t="s">
        <v>44</v>
      </c>
      <c r="AZ103" s="6"/>
    </row>
    <row r="104" spans="1:52" s="1" customFormat="1" hidden="1" x14ac:dyDescent="0.25">
      <c r="A104" s="58">
        <v>11</v>
      </c>
      <c r="B104" s="195"/>
      <c r="C104" s="171" t="s">
        <v>112</v>
      </c>
      <c r="D104" s="171"/>
      <c r="E104" s="171"/>
      <c r="H104" s="6"/>
      <c r="I104" s="72" t="s">
        <v>97</v>
      </c>
      <c r="J104" s="1">
        <v>1</v>
      </c>
      <c r="K104" s="1" t="s">
        <v>25</v>
      </c>
      <c r="L104" s="1">
        <v>2</v>
      </c>
      <c r="M104" s="1" t="s">
        <v>25</v>
      </c>
      <c r="N104" s="1" t="s">
        <v>22</v>
      </c>
      <c r="O104" s="1" t="s">
        <v>25</v>
      </c>
      <c r="P104" s="1">
        <f>I59</f>
        <v>14</v>
      </c>
      <c r="Q104" s="1" t="s">
        <v>25</v>
      </c>
      <c r="R104" s="1" t="s">
        <v>25</v>
      </c>
      <c r="S104" s="1" t="s">
        <v>25</v>
      </c>
      <c r="T104" s="1" t="s">
        <v>25</v>
      </c>
      <c r="U104" s="1">
        <f>I60</f>
        <v>0</v>
      </c>
      <c r="V104" s="1" t="s">
        <v>25</v>
      </c>
      <c r="W104" s="1" t="s">
        <v>22</v>
      </c>
      <c r="X104" s="1" t="s">
        <v>25</v>
      </c>
      <c r="Y104" s="1">
        <v>2</v>
      </c>
      <c r="Z104" s="1" t="s">
        <v>25</v>
      </c>
      <c r="AA104" s="1">
        <v>1</v>
      </c>
      <c r="AB104" s="117">
        <v>1</v>
      </c>
      <c r="AC104" s="22">
        <v>1</v>
      </c>
      <c r="AD104" s="22">
        <v>0</v>
      </c>
      <c r="AE104" s="22">
        <v>0</v>
      </c>
      <c r="AF104" s="22">
        <v>1</v>
      </c>
      <c r="AG104" s="22">
        <v>0</v>
      </c>
      <c r="AH104" s="22">
        <v>0</v>
      </c>
      <c r="AI104" s="118">
        <v>1</v>
      </c>
      <c r="AK104" s="5"/>
      <c r="AL104" s="40" t="s">
        <v>49</v>
      </c>
      <c r="AM104" s="5"/>
      <c r="AZ104" s="6"/>
    </row>
    <row r="105" spans="1:52" s="1" customFormat="1" hidden="1" x14ac:dyDescent="0.25">
      <c r="A105" s="58">
        <v>12</v>
      </c>
      <c r="B105" s="195">
        <v>2</v>
      </c>
      <c r="C105" s="171" t="s">
        <v>113</v>
      </c>
      <c r="D105" s="171"/>
      <c r="E105" s="171"/>
      <c r="H105" s="6"/>
      <c r="I105" s="72" t="s">
        <v>98</v>
      </c>
      <c r="J105" s="1">
        <v>1</v>
      </c>
      <c r="K105" s="1" t="s">
        <v>25</v>
      </c>
      <c r="L105" s="1">
        <v>2</v>
      </c>
      <c r="M105" s="1" t="s">
        <v>25</v>
      </c>
      <c r="N105" s="1" t="s">
        <v>22</v>
      </c>
      <c r="O105" s="1" t="s">
        <v>25</v>
      </c>
      <c r="P105" s="1" t="s">
        <v>22</v>
      </c>
      <c r="Q105" s="1" t="s">
        <v>26</v>
      </c>
      <c r="R105" s="1" t="s">
        <v>22</v>
      </c>
      <c r="S105" s="1" t="s">
        <v>22</v>
      </c>
      <c r="T105" s="1" t="s">
        <v>25</v>
      </c>
      <c r="U105" s="1" t="s">
        <v>22</v>
      </c>
      <c r="V105" s="1" t="s">
        <v>25</v>
      </c>
      <c r="W105" s="1" t="s">
        <v>22</v>
      </c>
      <c r="X105" s="1" t="s">
        <v>25</v>
      </c>
      <c r="Y105" s="1">
        <f>I59-1</f>
        <v>13</v>
      </c>
      <c r="Z105" s="1" t="s">
        <v>25</v>
      </c>
      <c r="AA105" s="1">
        <f>I59</f>
        <v>14</v>
      </c>
      <c r="AB105" s="117">
        <v>1</v>
      </c>
      <c r="AC105" s="22">
        <v>0</v>
      </c>
      <c r="AD105" s="22">
        <v>1</v>
      </c>
      <c r="AE105" s="22">
        <v>1</v>
      </c>
      <c r="AF105" s="22">
        <v>0</v>
      </c>
      <c r="AG105" s="22">
        <v>0</v>
      </c>
      <c r="AH105" s="22">
        <v>0</v>
      </c>
      <c r="AI105" s="118">
        <v>0</v>
      </c>
      <c r="AK105" s="5"/>
      <c r="AL105" s="40" t="s">
        <v>45</v>
      </c>
      <c r="AM105" s="5"/>
      <c r="AZ105" s="6"/>
    </row>
    <row r="106" spans="1:52" s="1" customFormat="1" hidden="1" x14ac:dyDescent="0.25">
      <c r="A106" s="58">
        <v>13</v>
      </c>
      <c r="B106" s="195"/>
      <c r="C106" s="171" t="s">
        <v>114</v>
      </c>
      <c r="D106" s="171"/>
      <c r="E106" s="171"/>
      <c r="H106" s="6"/>
      <c r="I106" s="72" t="s">
        <v>99</v>
      </c>
      <c r="J106" s="1">
        <v>1</v>
      </c>
      <c r="K106" s="1" t="s">
        <v>25</v>
      </c>
      <c r="L106" s="1">
        <v>2</v>
      </c>
      <c r="M106" s="1" t="s">
        <v>25</v>
      </c>
      <c r="N106" s="1" t="s">
        <v>25</v>
      </c>
      <c r="O106" s="1" t="s">
        <v>22</v>
      </c>
      <c r="P106" s="1" t="s">
        <v>25</v>
      </c>
      <c r="Q106" s="1" t="s">
        <v>25</v>
      </c>
      <c r="R106" s="1">
        <f>I59</f>
        <v>14</v>
      </c>
      <c r="S106" s="1">
        <f>I60</f>
        <v>0</v>
      </c>
      <c r="T106" s="1" t="s">
        <v>25</v>
      </c>
      <c r="U106" s="1" t="s">
        <v>25</v>
      </c>
      <c r="V106" s="1" t="s">
        <v>22</v>
      </c>
      <c r="W106" s="1" t="s">
        <v>25</v>
      </c>
      <c r="X106" s="1" t="s">
        <v>25</v>
      </c>
      <c r="Y106" s="1">
        <v>2</v>
      </c>
      <c r="Z106" s="1" t="s">
        <v>25</v>
      </c>
      <c r="AA106" s="1">
        <v>1</v>
      </c>
      <c r="AB106" s="117">
        <v>1</v>
      </c>
      <c r="AC106" s="22">
        <v>0</v>
      </c>
      <c r="AD106" s="22">
        <v>1</v>
      </c>
      <c r="AE106" s="22">
        <v>1</v>
      </c>
      <c r="AF106" s="22">
        <v>0</v>
      </c>
      <c r="AG106" s="22">
        <v>0</v>
      </c>
      <c r="AH106" s="22">
        <v>0</v>
      </c>
      <c r="AI106" s="118">
        <v>0</v>
      </c>
      <c r="AK106" s="5"/>
      <c r="AL106" s="40" t="s">
        <v>46</v>
      </c>
      <c r="AM106" s="5"/>
      <c r="AZ106" s="6"/>
    </row>
    <row r="107" spans="1:52" s="1" customFormat="1" hidden="1" x14ac:dyDescent="0.25">
      <c r="A107" s="58">
        <v>14</v>
      </c>
      <c r="B107" s="195">
        <v>3</v>
      </c>
      <c r="C107" s="171" t="s">
        <v>116</v>
      </c>
      <c r="D107" s="171"/>
      <c r="E107" s="171"/>
      <c r="H107" s="6"/>
      <c r="I107" s="72" t="s">
        <v>100</v>
      </c>
      <c r="J107" s="1">
        <v>1</v>
      </c>
      <c r="K107" s="1" t="s">
        <v>25</v>
      </c>
      <c r="L107" s="1">
        <v>2</v>
      </c>
      <c r="M107" s="1" t="s">
        <v>25</v>
      </c>
      <c r="N107" s="1" t="s">
        <v>22</v>
      </c>
      <c r="O107" s="1" t="s">
        <v>25</v>
      </c>
      <c r="P107" s="1" t="s">
        <v>22</v>
      </c>
      <c r="Q107" s="1" t="s">
        <v>25</v>
      </c>
      <c r="R107" s="1" t="s">
        <v>22</v>
      </c>
      <c r="S107" s="1" t="s">
        <v>25</v>
      </c>
      <c r="T107" s="1" t="s">
        <v>22</v>
      </c>
      <c r="U107" s="1" t="s">
        <v>25</v>
      </c>
      <c r="V107" s="1" t="s">
        <v>22</v>
      </c>
      <c r="W107" s="1" t="s">
        <v>25</v>
      </c>
      <c r="X107" s="1" t="s">
        <v>22</v>
      </c>
      <c r="Y107" s="1" t="s">
        <v>25</v>
      </c>
      <c r="Z107" s="1">
        <f>I59-1</f>
        <v>13</v>
      </c>
      <c r="AA107" s="1">
        <f>I59</f>
        <v>14</v>
      </c>
      <c r="AB107" s="117">
        <v>1</v>
      </c>
      <c r="AC107" s="22">
        <v>1</v>
      </c>
      <c r="AD107" s="22">
        <v>0</v>
      </c>
      <c r="AE107" s="22">
        <v>0</v>
      </c>
      <c r="AF107" s="22">
        <v>1</v>
      </c>
      <c r="AG107" s="22">
        <v>0</v>
      </c>
      <c r="AH107" s="22">
        <v>0</v>
      </c>
      <c r="AI107" s="118">
        <v>1</v>
      </c>
      <c r="AK107" s="5"/>
      <c r="AL107" s="16"/>
      <c r="AM107" s="5"/>
      <c r="AZ107" s="6"/>
    </row>
    <row r="108" spans="1:52" s="1" customFormat="1" hidden="1" x14ac:dyDescent="0.25">
      <c r="A108" s="58">
        <v>15</v>
      </c>
      <c r="B108" s="195"/>
      <c r="C108" s="171" t="s">
        <v>112</v>
      </c>
      <c r="D108" s="171"/>
      <c r="E108" s="171"/>
      <c r="H108" s="6"/>
      <c r="I108" s="72" t="s">
        <v>101</v>
      </c>
      <c r="J108" s="1">
        <v>1</v>
      </c>
      <c r="K108" s="1" t="s">
        <v>25</v>
      </c>
      <c r="L108" s="1">
        <v>2</v>
      </c>
      <c r="M108" s="1" t="s">
        <v>25</v>
      </c>
      <c r="N108" s="1" t="s">
        <v>22</v>
      </c>
      <c r="O108" s="1" t="s">
        <v>25</v>
      </c>
      <c r="P108" s="1" t="s">
        <v>25</v>
      </c>
      <c r="Q108" s="1">
        <f>I59</f>
        <v>14</v>
      </c>
      <c r="R108" s="1" t="s">
        <v>25</v>
      </c>
      <c r="S108" s="1" t="s">
        <v>25</v>
      </c>
      <c r="T108" s="1">
        <f>I60</f>
        <v>0</v>
      </c>
      <c r="U108" s="1" t="s">
        <v>25</v>
      </c>
      <c r="V108" s="1" t="s">
        <v>25</v>
      </c>
      <c r="W108" s="1" t="s">
        <v>22</v>
      </c>
      <c r="X108" s="1" t="s">
        <v>25</v>
      </c>
      <c r="Y108" s="1">
        <v>2</v>
      </c>
      <c r="Z108" s="1" t="s">
        <v>25</v>
      </c>
      <c r="AA108" s="1">
        <v>1</v>
      </c>
      <c r="AB108" s="117">
        <v>1</v>
      </c>
      <c r="AC108" s="22">
        <v>1</v>
      </c>
      <c r="AD108" s="22">
        <v>0</v>
      </c>
      <c r="AE108" s="22">
        <v>0</v>
      </c>
      <c r="AF108" s="22">
        <v>1</v>
      </c>
      <c r="AG108" s="22">
        <v>0</v>
      </c>
      <c r="AH108" s="22">
        <v>0</v>
      </c>
      <c r="AI108" s="118">
        <v>1</v>
      </c>
      <c r="AK108" s="5"/>
      <c r="AL108" s="16"/>
      <c r="AM108" s="5"/>
      <c r="AZ108" s="6"/>
    </row>
    <row r="109" spans="1:52" s="1" customFormat="1" hidden="1" x14ac:dyDescent="0.25">
      <c r="A109" s="58">
        <v>16</v>
      </c>
      <c r="H109" s="6"/>
      <c r="I109" s="72" t="s">
        <v>102</v>
      </c>
      <c r="J109" s="1">
        <v>1</v>
      </c>
      <c r="K109" s="1" t="s">
        <v>25</v>
      </c>
      <c r="L109" s="1">
        <v>2</v>
      </c>
      <c r="M109" s="1" t="s">
        <v>25</v>
      </c>
      <c r="N109" s="1" t="s">
        <v>25</v>
      </c>
      <c r="O109" s="1" t="s">
        <v>22</v>
      </c>
      <c r="P109" s="1" t="s">
        <v>25</v>
      </c>
      <c r="Q109" s="1" t="s">
        <v>22</v>
      </c>
      <c r="R109" s="1" t="s">
        <v>25</v>
      </c>
      <c r="S109" s="1" t="s">
        <v>25</v>
      </c>
      <c r="T109" s="1" t="s">
        <v>22</v>
      </c>
      <c r="U109" s="1" t="s">
        <v>25</v>
      </c>
      <c r="V109" s="1">
        <f>I59-1</f>
        <v>13</v>
      </c>
      <c r="W109" s="1" t="s">
        <v>25</v>
      </c>
      <c r="X109" s="1">
        <f>I59</f>
        <v>14</v>
      </c>
      <c r="Y109" s="1" t="s">
        <v>25</v>
      </c>
      <c r="Z109" s="1" t="s">
        <v>25</v>
      </c>
      <c r="AA109" s="1" t="s">
        <v>25</v>
      </c>
      <c r="AB109" s="117">
        <v>1</v>
      </c>
      <c r="AC109" s="22">
        <v>1</v>
      </c>
      <c r="AD109" s="22">
        <v>0</v>
      </c>
      <c r="AE109" s="22">
        <v>0</v>
      </c>
      <c r="AF109" s="22">
        <v>1</v>
      </c>
      <c r="AG109" s="22">
        <v>0</v>
      </c>
      <c r="AH109" s="22">
        <v>0</v>
      </c>
      <c r="AI109" s="118">
        <v>1</v>
      </c>
      <c r="AK109" s="5"/>
      <c r="AL109" s="16"/>
      <c r="AM109" s="5"/>
      <c r="AZ109" s="6"/>
    </row>
    <row r="110" spans="1:52" s="1" customFormat="1" hidden="1" x14ac:dyDescent="0.25">
      <c r="A110" s="58">
        <v>17</v>
      </c>
      <c r="H110" s="6"/>
      <c r="I110" s="72" t="s">
        <v>103</v>
      </c>
      <c r="J110" s="1">
        <v>1</v>
      </c>
      <c r="K110" s="1" t="s">
        <v>25</v>
      </c>
      <c r="L110" s="6">
        <v>2</v>
      </c>
      <c r="M110" s="1" t="s">
        <v>25</v>
      </c>
      <c r="N110" s="1" t="s">
        <v>22</v>
      </c>
      <c r="O110" s="1" t="s">
        <v>25</v>
      </c>
      <c r="P110" s="1" t="s">
        <v>25</v>
      </c>
      <c r="Q110" s="1">
        <f>I60</f>
        <v>0</v>
      </c>
      <c r="R110" s="1" t="s">
        <v>25</v>
      </c>
      <c r="S110" s="1" t="s">
        <v>25</v>
      </c>
      <c r="T110" s="1">
        <f>I60</f>
        <v>0</v>
      </c>
      <c r="U110" s="1" t="s">
        <v>25</v>
      </c>
      <c r="V110" s="1" t="s">
        <v>25</v>
      </c>
      <c r="W110" s="1" t="s">
        <v>22</v>
      </c>
      <c r="X110" s="1" t="s">
        <v>25</v>
      </c>
      <c r="Y110" s="1">
        <v>2</v>
      </c>
      <c r="Z110" s="1">
        <v>1</v>
      </c>
      <c r="AA110" s="1" t="s">
        <v>25</v>
      </c>
      <c r="AB110" s="117">
        <v>1</v>
      </c>
      <c r="AC110" s="22">
        <v>0</v>
      </c>
      <c r="AD110" s="22">
        <v>0</v>
      </c>
      <c r="AE110" s="22">
        <v>0</v>
      </c>
      <c r="AF110" s="22">
        <v>0</v>
      </c>
      <c r="AG110" s="22">
        <v>1</v>
      </c>
      <c r="AH110" s="22">
        <v>1</v>
      </c>
      <c r="AI110" s="118">
        <v>1</v>
      </c>
      <c r="AK110" s="5"/>
      <c r="AL110" s="40" t="s">
        <v>47</v>
      </c>
      <c r="AM110" s="5"/>
      <c r="AZ110" s="6"/>
    </row>
    <row r="111" spans="1:52" s="1" customFormat="1" hidden="1" x14ac:dyDescent="0.25">
      <c r="A111" s="58">
        <v>18</v>
      </c>
      <c r="H111" s="6"/>
      <c r="I111" s="72" t="s">
        <v>104</v>
      </c>
      <c r="J111" s="1">
        <v>1</v>
      </c>
      <c r="K111" s="1" t="s">
        <v>25</v>
      </c>
      <c r="L111" s="1">
        <v>2</v>
      </c>
      <c r="M111" s="1" t="s">
        <v>25</v>
      </c>
      <c r="N111" s="1" t="s">
        <v>22</v>
      </c>
      <c r="O111" s="1" t="s">
        <v>25</v>
      </c>
      <c r="P111" s="1" t="s">
        <v>22</v>
      </c>
      <c r="Q111" s="1" t="s">
        <v>25</v>
      </c>
      <c r="R111" s="1" t="s">
        <v>22</v>
      </c>
      <c r="S111" s="1" t="s">
        <v>25</v>
      </c>
      <c r="T111" s="1" t="s">
        <v>22</v>
      </c>
      <c r="U111" s="1" t="s">
        <v>25</v>
      </c>
      <c r="V111" s="1" t="s">
        <v>22</v>
      </c>
      <c r="W111" s="1" t="s">
        <v>25</v>
      </c>
      <c r="X111" s="1" t="s">
        <v>22</v>
      </c>
      <c r="Y111" s="1" t="s">
        <v>25</v>
      </c>
      <c r="Z111" s="1">
        <f>I59-1</f>
        <v>13</v>
      </c>
      <c r="AA111" s="1">
        <f>I59</f>
        <v>14</v>
      </c>
      <c r="AB111" s="117">
        <v>1</v>
      </c>
      <c r="AC111" s="22">
        <v>0</v>
      </c>
      <c r="AD111" s="22">
        <v>1</v>
      </c>
      <c r="AE111" s="22">
        <v>1</v>
      </c>
      <c r="AF111" s="22">
        <v>0</v>
      </c>
      <c r="AG111" s="22">
        <v>0</v>
      </c>
      <c r="AH111" s="22">
        <v>0</v>
      </c>
      <c r="AI111" s="118">
        <v>0</v>
      </c>
      <c r="AK111" s="5"/>
      <c r="AL111" s="41" t="s">
        <v>48</v>
      </c>
      <c r="AM111" s="5" t="s">
        <v>91</v>
      </c>
      <c r="AZ111" s="6"/>
    </row>
    <row r="112" spans="1:52" s="1" customFormat="1" hidden="1" x14ac:dyDescent="0.25">
      <c r="A112" s="58">
        <v>19</v>
      </c>
      <c r="H112" s="6"/>
      <c r="I112" s="72" t="s">
        <v>105</v>
      </c>
      <c r="J112" s="1">
        <v>1</v>
      </c>
      <c r="K112" s="1" t="s">
        <v>25</v>
      </c>
      <c r="L112" s="1">
        <v>2</v>
      </c>
      <c r="M112" s="1" t="s">
        <v>25</v>
      </c>
      <c r="N112" s="1" t="s">
        <v>22</v>
      </c>
      <c r="O112" s="1" t="s">
        <v>25</v>
      </c>
      <c r="P112" s="1">
        <f>I59</f>
        <v>14</v>
      </c>
      <c r="Q112" s="1" t="s">
        <v>25</v>
      </c>
      <c r="R112" s="1" t="s">
        <v>25</v>
      </c>
      <c r="S112" s="1" t="s">
        <v>25</v>
      </c>
      <c r="T112" s="1" t="s">
        <v>25</v>
      </c>
      <c r="U112" s="1">
        <f>I60</f>
        <v>0</v>
      </c>
      <c r="V112" s="1" t="s">
        <v>25</v>
      </c>
      <c r="W112" s="1" t="s">
        <v>22</v>
      </c>
      <c r="X112" s="1" t="s">
        <v>25</v>
      </c>
      <c r="Y112" s="1">
        <v>2</v>
      </c>
      <c r="Z112" s="1" t="s">
        <v>25</v>
      </c>
      <c r="AA112" s="1">
        <v>1</v>
      </c>
      <c r="AB112" s="117">
        <v>1</v>
      </c>
      <c r="AC112" s="22">
        <v>0</v>
      </c>
      <c r="AD112" s="22">
        <v>1</v>
      </c>
      <c r="AE112" s="22">
        <v>1</v>
      </c>
      <c r="AF112" s="22">
        <v>0</v>
      </c>
      <c r="AG112" s="22">
        <v>0</v>
      </c>
      <c r="AH112" s="22">
        <v>0</v>
      </c>
      <c r="AI112" s="118">
        <v>0</v>
      </c>
      <c r="AL112" s="42" t="s">
        <v>90</v>
      </c>
      <c r="AZ112" s="6"/>
    </row>
    <row r="113" spans="1:52" s="1" customFormat="1" hidden="1" x14ac:dyDescent="0.25">
      <c r="A113" s="58">
        <v>20</v>
      </c>
      <c r="I113" s="72" t="s">
        <v>137</v>
      </c>
      <c r="AB113" s="117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118">
        <v>0</v>
      </c>
      <c r="AZ113" s="6"/>
    </row>
    <row r="114" spans="1:52" s="1" customFormat="1" hidden="1" x14ac:dyDescent="0.25">
      <c r="A114" s="58">
        <v>21</v>
      </c>
      <c r="I114" s="72" t="s">
        <v>138</v>
      </c>
      <c r="J114" s="1">
        <v>1</v>
      </c>
      <c r="K114" s="1" t="s">
        <v>25</v>
      </c>
      <c r="L114" s="1">
        <v>2</v>
      </c>
      <c r="M114" s="1" t="s">
        <v>25</v>
      </c>
      <c r="N114" s="1" t="s">
        <v>22</v>
      </c>
      <c r="O114" s="1" t="s">
        <v>25</v>
      </c>
      <c r="P114" s="1" t="s">
        <v>22</v>
      </c>
      <c r="Q114" s="1" t="s">
        <v>25</v>
      </c>
      <c r="R114" s="1" t="s">
        <v>25</v>
      </c>
      <c r="S114" s="1">
        <f>I59</f>
        <v>14</v>
      </c>
      <c r="T114" s="1" t="s">
        <v>25</v>
      </c>
      <c r="U114" s="1" t="s">
        <v>25</v>
      </c>
      <c r="V114" s="1" t="s">
        <v>25</v>
      </c>
      <c r="W114" s="1" t="s">
        <v>25</v>
      </c>
      <c r="X114" s="1" t="s">
        <v>25</v>
      </c>
      <c r="Y114" s="1" t="s">
        <v>25</v>
      </c>
      <c r="Z114" s="1" t="s">
        <v>25</v>
      </c>
      <c r="AA114" s="1" t="s">
        <v>25</v>
      </c>
      <c r="AB114" s="117">
        <v>1</v>
      </c>
      <c r="AC114" s="22">
        <v>1</v>
      </c>
      <c r="AD114" s="22">
        <v>0</v>
      </c>
      <c r="AE114" s="22">
        <v>0</v>
      </c>
      <c r="AF114" s="22">
        <v>1</v>
      </c>
      <c r="AG114" s="22">
        <v>0</v>
      </c>
      <c r="AH114" s="22">
        <v>0</v>
      </c>
      <c r="AI114" s="118">
        <v>1</v>
      </c>
      <c r="AZ114" s="6"/>
    </row>
    <row r="115" spans="1:52" s="1" customFormat="1" hidden="1" x14ac:dyDescent="0.25">
      <c r="A115" s="58">
        <v>22</v>
      </c>
      <c r="I115" s="72" t="s">
        <v>139</v>
      </c>
      <c r="J115" s="267" t="s">
        <v>25</v>
      </c>
      <c r="K115" s="267" t="s">
        <v>25</v>
      </c>
      <c r="L115" s="267" t="s">
        <v>25</v>
      </c>
      <c r="M115" s="267" t="s">
        <v>25</v>
      </c>
      <c r="N115" s="267" t="s">
        <v>25</v>
      </c>
      <c r="O115" s="267" t="s">
        <v>25</v>
      </c>
      <c r="P115" s="267" t="s">
        <v>25</v>
      </c>
      <c r="Q115" s="267" t="s">
        <v>25</v>
      </c>
      <c r="R115" s="267">
        <f>I60</f>
        <v>0</v>
      </c>
      <c r="S115" s="267" t="s">
        <v>25</v>
      </c>
      <c r="T115" s="267" t="s">
        <v>25</v>
      </c>
      <c r="U115" s="267" t="s">
        <v>22</v>
      </c>
      <c r="V115" s="267" t="s">
        <v>25</v>
      </c>
      <c r="W115" s="267" t="s">
        <v>22</v>
      </c>
      <c r="X115" s="267" t="s">
        <v>25</v>
      </c>
      <c r="Y115" s="267">
        <v>2</v>
      </c>
      <c r="Z115" s="267" t="s">
        <v>25</v>
      </c>
      <c r="AA115" s="267">
        <v>1</v>
      </c>
      <c r="AB115" s="117">
        <v>1</v>
      </c>
      <c r="AC115" s="269">
        <v>1</v>
      </c>
      <c r="AD115" s="269">
        <v>0</v>
      </c>
      <c r="AE115" s="269">
        <v>0</v>
      </c>
      <c r="AF115" s="269">
        <v>1</v>
      </c>
      <c r="AG115" s="269">
        <v>0</v>
      </c>
      <c r="AH115" s="269">
        <v>0</v>
      </c>
      <c r="AI115" s="118">
        <v>1</v>
      </c>
      <c r="AZ115" s="6"/>
    </row>
    <row r="116" spans="1:52" s="1" customFormat="1" ht="15.75" hidden="1" thickBot="1" x14ac:dyDescent="0.3">
      <c r="A116" s="59">
        <v>23</v>
      </c>
      <c r="I116" s="72" t="s">
        <v>145</v>
      </c>
      <c r="J116" s="1">
        <v>1</v>
      </c>
      <c r="K116" s="1" t="s">
        <v>25</v>
      </c>
      <c r="L116" s="1">
        <v>2</v>
      </c>
      <c r="M116" s="1" t="s">
        <v>25</v>
      </c>
      <c r="N116" s="1" t="s">
        <v>22</v>
      </c>
      <c r="O116" s="1" t="s">
        <v>25</v>
      </c>
      <c r="P116" s="1" t="s">
        <v>22</v>
      </c>
      <c r="Q116" s="1" t="s">
        <v>25</v>
      </c>
      <c r="R116" s="1" t="s">
        <v>22</v>
      </c>
      <c r="S116" s="1" t="s">
        <v>25</v>
      </c>
      <c r="T116" s="1" t="s">
        <v>22</v>
      </c>
      <c r="U116" s="1" t="s">
        <v>25</v>
      </c>
      <c r="V116" s="1" t="s">
        <v>22</v>
      </c>
      <c r="W116" s="1" t="s">
        <v>25</v>
      </c>
      <c r="X116" s="1" t="s">
        <v>22</v>
      </c>
      <c r="Y116" s="1">
        <f>I59-1</f>
        <v>13</v>
      </c>
      <c r="Z116" s="1" t="s">
        <v>25</v>
      </c>
      <c r="AA116" s="1">
        <f>I59</f>
        <v>14</v>
      </c>
      <c r="AB116" s="117">
        <v>1</v>
      </c>
      <c r="AC116" s="22">
        <v>0</v>
      </c>
      <c r="AD116" s="22">
        <v>0</v>
      </c>
      <c r="AE116" s="22">
        <v>0</v>
      </c>
      <c r="AF116" s="22">
        <v>1</v>
      </c>
      <c r="AG116" s="22">
        <v>1</v>
      </c>
      <c r="AH116" s="22">
        <v>0</v>
      </c>
      <c r="AI116" s="118">
        <v>1</v>
      </c>
      <c r="AZ116" s="6"/>
    </row>
    <row r="117" spans="1:52" s="1" customFormat="1" ht="15.75" hidden="1" thickBot="1" x14ac:dyDescent="0.3">
      <c r="I117" s="73" t="s">
        <v>146</v>
      </c>
      <c r="J117" s="1">
        <v>1</v>
      </c>
      <c r="K117" s="1" t="s">
        <v>25</v>
      </c>
      <c r="L117" s="1">
        <v>2</v>
      </c>
      <c r="M117" s="1" t="s">
        <v>25</v>
      </c>
      <c r="N117" s="1" t="s">
        <v>22</v>
      </c>
      <c r="O117" s="1" t="s">
        <v>25</v>
      </c>
      <c r="P117" s="1">
        <f>I59</f>
        <v>14</v>
      </c>
      <c r="Q117" s="1" t="s">
        <v>25</v>
      </c>
      <c r="R117" s="1" t="s">
        <v>25</v>
      </c>
      <c r="S117" s="1" t="s">
        <v>25</v>
      </c>
      <c r="T117" s="1" t="s">
        <v>25</v>
      </c>
      <c r="U117" s="1">
        <f>I60</f>
        <v>0</v>
      </c>
      <c r="V117" s="1" t="s">
        <v>25</v>
      </c>
      <c r="W117" s="1" t="s">
        <v>22</v>
      </c>
      <c r="X117" s="1" t="s">
        <v>25</v>
      </c>
      <c r="Y117" s="1">
        <v>2</v>
      </c>
      <c r="Z117" s="1" t="s">
        <v>25</v>
      </c>
      <c r="AA117" s="1">
        <v>1</v>
      </c>
      <c r="AB117" s="270">
        <v>1</v>
      </c>
      <c r="AC117" s="271">
        <v>0</v>
      </c>
      <c r="AD117" s="271">
        <v>0</v>
      </c>
      <c r="AE117" s="271">
        <v>0</v>
      </c>
      <c r="AF117" s="271">
        <v>1</v>
      </c>
      <c r="AG117" s="271">
        <v>1</v>
      </c>
      <c r="AH117" s="271">
        <v>0</v>
      </c>
      <c r="AI117" s="272">
        <v>1</v>
      </c>
      <c r="AZ117" s="6"/>
    </row>
    <row r="118" spans="1:52" s="1" customFormat="1" hidden="1" x14ac:dyDescent="0.25">
      <c r="AZ118" s="6"/>
    </row>
    <row r="119" spans="1:52" s="1" customFormat="1" hidden="1" x14ac:dyDescent="0.25">
      <c r="AZ119" s="6"/>
    </row>
    <row r="120" spans="1:52" s="1" customFormat="1" hidden="1" x14ac:dyDescent="0.25">
      <c r="AZ120" s="6"/>
    </row>
    <row r="121" spans="1:52" s="1" customFormat="1" hidden="1" x14ac:dyDescent="0.25">
      <c r="AZ121" s="6"/>
    </row>
    <row r="500" spans="89:97" x14ac:dyDescent="0.25">
      <c r="CK500" s="1"/>
      <c r="CL500" s="1"/>
      <c r="CM500" s="1"/>
      <c r="CN500" s="1"/>
      <c r="CO500" s="1"/>
      <c r="CP500" s="1"/>
      <c r="CQ500" s="1"/>
      <c r="CR500" s="1"/>
      <c r="CS500" s="1"/>
    </row>
    <row r="501" spans="89:97" ht="96" customHeight="1" x14ac:dyDescent="0.25">
      <c r="CK501" s="43"/>
      <c r="CN501" s="4" t="s">
        <v>25</v>
      </c>
      <c r="CO501" s="1"/>
      <c r="CP501" s="1"/>
      <c r="CQ501" s="1"/>
      <c r="CR501" s="1"/>
      <c r="CS501" s="1"/>
    </row>
    <row r="502" spans="89:97" ht="96" customHeight="1" x14ac:dyDescent="0.25">
      <c r="CK502" s="1"/>
      <c r="CO502" s="1"/>
      <c r="CP502" s="1"/>
      <c r="CQ502" s="1"/>
      <c r="CR502" s="1"/>
      <c r="CS502" s="1"/>
    </row>
    <row r="503" spans="89:97" ht="96.75" customHeight="1" x14ac:dyDescent="0.25">
      <c r="CK503" s="1"/>
      <c r="CN503" s="4" t="s">
        <v>7</v>
      </c>
      <c r="CO503" s="45" t="s">
        <v>8</v>
      </c>
      <c r="CP503" s="1">
        <f>I69</f>
        <v>1</v>
      </c>
      <c r="CQ503" s="171" t="str">
        <f>IF(CP503=0,CO504,IF(CP503=1,CO505,IF(CP503=3,CO506,IF(CP503=5,CO507,IF(CP503=7,CO508,IF(CP503=9,CO509,IF(CP503=2,CO510,IF(CP503=4,CO511,IF(CP503=6,CO512,IF(CP503=8,CO513,IF(CP503=10,CO514,IF(CP503=11,CO515,IF(CP503=12,CO516,IF(CP503=13,CO517,IF(CP503=14,CO518,0)))))))))))))))</f>
        <v>FMS enkel</v>
      </c>
      <c r="CR503" s="171"/>
      <c r="CS503" s="171"/>
    </row>
    <row r="504" spans="89:97" ht="147.75" customHeight="1" x14ac:dyDescent="0.25">
      <c r="CK504" s="1"/>
      <c r="CL504" s="1"/>
      <c r="CM504" s="4">
        <v>0</v>
      </c>
      <c r="CO504" s="4">
        <v>0</v>
      </c>
      <c r="CP504" s="1"/>
      <c r="CQ504" s="46"/>
      <c r="CR504" s="1"/>
      <c r="CS504" s="1"/>
    </row>
    <row r="505" spans="89:97" ht="147.75" customHeight="1" x14ac:dyDescent="0.25">
      <c r="CK505" s="1"/>
      <c r="CL505" s="1"/>
      <c r="CM505" s="4">
        <v>1</v>
      </c>
      <c r="CO505" s="4" t="s">
        <v>5</v>
      </c>
      <c r="CP505" s="1"/>
      <c r="CQ505" s="1"/>
      <c r="CR505" s="1"/>
      <c r="CS505" s="1"/>
    </row>
    <row r="506" spans="89:97" ht="147.75" customHeight="1" x14ac:dyDescent="0.25">
      <c r="CK506" s="1"/>
      <c r="CL506" s="1"/>
      <c r="CM506" s="4">
        <v>3</v>
      </c>
      <c r="CO506" s="4" t="s">
        <v>23</v>
      </c>
      <c r="CP506" s="1"/>
      <c r="CQ506" s="1"/>
      <c r="CR506" s="1"/>
      <c r="CS506" s="1"/>
    </row>
    <row r="507" spans="89:97" ht="147.75" customHeight="1" x14ac:dyDescent="0.25">
      <c r="CK507" s="1"/>
      <c r="CL507" s="1"/>
      <c r="CM507" s="4">
        <v>5</v>
      </c>
      <c r="CO507" s="4" t="s">
        <v>27</v>
      </c>
      <c r="CP507" s="1"/>
      <c r="CQ507" s="1"/>
      <c r="CR507" s="1"/>
      <c r="CS507" s="1"/>
    </row>
    <row r="508" spans="89:97" ht="147.75" customHeight="1" x14ac:dyDescent="0.25">
      <c r="CK508" s="1"/>
      <c r="CL508" s="1"/>
      <c r="CM508" s="4">
        <v>7</v>
      </c>
      <c r="CN508" s="1"/>
      <c r="CO508" s="4" t="s">
        <v>28</v>
      </c>
      <c r="CP508" s="1"/>
      <c r="CQ508" s="1"/>
      <c r="CR508" s="1"/>
      <c r="CS508" s="1"/>
    </row>
    <row r="509" spans="89:97" ht="147.75" customHeight="1" x14ac:dyDescent="0.25">
      <c r="CK509" s="1"/>
      <c r="CL509" s="1"/>
      <c r="CM509" s="4">
        <v>9</v>
      </c>
      <c r="CO509" s="4" t="s">
        <v>29</v>
      </c>
      <c r="CP509" s="1"/>
      <c r="CQ509" s="1"/>
      <c r="CR509" s="1"/>
      <c r="CS509" s="1"/>
    </row>
    <row r="510" spans="89:97" ht="147.75" customHeight="1" x14ac:dyDescent="0.25">
      <c r="CK510" s="1"/>
      <c r="CL510" s="1"/>
      <c r="CM510" s="4">
        <v>2</v>
      </c>
      <c r="CO510" s="4" t="s">
        <v>6</v>
      </c>
      <c r="CP510" s="1"/>
      <c r="CQ510" s="1"/>
      <c r="CR510" s="1"/>
      <c r="CS510" s="1"/>
    </row>
    <row r="511" spans="89:97" ht="147.75" customHeight="1" x14ac:dyDescent="0.25">
      <c r="CK511" s="1"/>
      <c r="CL511" s="1"/>
      <c r="CM511" s="4">
        <v>4</v>
      </c>
      <c r="CO511" s="4" t="s">
        <v>24</v>
      </c>
      <c r="CP511" s="1"/>
      <c r="CQ511" s="1"/>
      <c r="CR511" s="1"/>
      <c r="CS511" s="1"/>
    </row>
    <row r="512" spans="89:97" ht="147.75" customHeight="1" x14ac:dyDescent="0.25">
      <c r="CK512" s="1"/>
      <c r="CL512" s="1"/>
      <c r="CM512" s="4">
        <v>6</v>
      </c>
      <c r="CO512" s="4" t="s">
        <v>9</v>
      </c>
      <c r="CP512" s="1"/>
      <c r="CQ512" s="1"/>
      <c r="CR512" s="1"/>
      <c r="CS512" s="1"/>
    </row>
    <row r="513" spans="89:97" ht="147.75" customHeight="1" x14ac:dyDescent="0.25">
      <c r="CK513" s="1"/>
      <c r="CL513" s="1"/>
      <c r="CM513" s="4">
        <v>8</v>
      </c>
      <c r="CN513" s="1"/>
      <c r="CO513" s="4" t="s">
        <v>30</v>
      </c>
      <c r="CP513" s="1"/>
      <c r="CQ513" s="1"/>
      <c r="CR513" s="1"/>
      <c r="CS513" s="1"/>
    </row>
    <row r="514" spans="89:97" ht="147.75" customHeight="1" x14ac:dyDescent="0.25">
      <c r="CK514" s="1"/>
      <c r="CL514" s="1"/>
      <c r="CM514" s="4">
        <v>10</v>
      </c>
      <c r="CO514" s="4" t="s">
        <v>31</v>
      </c>
      <c r="CP514" s="1"/>
      <c r="CQ514" s="1"/>
      <c r="CR514" s="1"/>
      <c r="CS514" s="1"/>
    </row>
    <row r="515" spans="89:97" ht="147.75" customHeight="1" x14ac:dyDescent="0.25">
      <c r="CK515" s="1"/>
      <c r="CL515" s="1"/>
      <c r="CM515" s="4">
        <v>11</v>
      </c>
      <c r="CN515" s="1" t="s">
        <v>135</v>
      </c>
      <c r="CO515" s="4" t="s">
        <v>133</v>
      </c>
      <c r="CP515" s="1"/>
      <c r="CQ515" s="1"/>
      <c r="CR515" s="1"/>
      <c r="CS515" s="1"/>
    </row>
    <row r="516" spans="89:97" ht="147" customHeight="1" x14ac:dyDescent="0.25">
      <c r="CK516" s="1"/>
      <c r="CL516" s="1"/>
      <c r="CM516" s="4">
        <v>12</v>
      </c>
      <c r="CN516" s="112"/>
      <c r="CO516" s="4" t="s">
        <v>134</v>
      </c>
      <c r="CP516" s="1"/>
      <c r="CQ516" s="1"/>
      <c r="CR516" s="1"/>
      <c r="CS516" s="1"/>
    </row>
    <row r="517" spans="89:97" ht="147.75" customHeight="1" x14ac:dyDescent="0.25">
      <c r="CK517" s="1"/>
      <c r="CL517" s="1"/>
      <c r="CM517" s="4">
        <v>13</v>
      </c>
      <c r="CN517" s="1"/>
      <c r="CO517" s="4" t="s">
        <v>147</v>
      </c>
      <c r="CP517" s="1"/>
      <c r="CQ517" s="1"/>
      <c r="CR517" s="1"/>
      <c r="CS517" s="1"/>
    </row>
    <row r="518" spans="89:97" ht="147" customHeight="1" x14ac:dyDescent="0.25">
      <c r="CK518" s="1"/>
      <c r="CL518" s="1"/>
      <c r="CM518" s="4">
        <v>14</v>
      </c>
      <c r="CN518" s="112"/>
      <c r="CO518" s="4" t="s">
        <v>148</v>
      </c>
      <c r="CP518" s="1"/>
      <c r="CQ518" s="1"/>
      <c r="CR518" s="1"/>
      <c r="CS518" s="1"/>
    </row>
    <row r="519" spans="89:97" x14ac:dyDescent="0.25">
      <c r="CK519" s="1"/>
      <c r="CL519" s="1"/>
      <c r="CM519" s="1"/>
      <c r="CN519" s="1"/>
      <c r="CO519" s="1"/>
      <c r="CP519" s="1"/>
      <c r="CQ519" s="1"/>
      <c r="CR519" s="1"/>
    </row>
  </sheetData>
  <sheetProtection algorithmName="SHA-512" hashValue="iEarDY7H4WoOQNnFoW2yu52iRjdFEP9KNyeKJOVCdToQcKu9vu5y2hyQdAiJbi4eO28dtdra84Fmu7S6VQuXqA==" saltValue="A17k/Y7f11OiQKDTi0fKJw==" spinCount="100000" sheet="1" objects="1" scenarios="1" selectLockedCells="1"/>
  <mergeCells count="616">
    <mergeCell ref="AU75:AV75"/>
    <mergeCell ref="AW75:AZ75"/>
    <mergeCell ref="AU76:AV76"/>
    <mergeCell ref="AW76:AZ76"/>
    <mergeCell ref="AU77:AZ77"/>
    <mergeCell ref="AU78:AZ78"/>
    <mergeCell ref="AU71:AV71"/>
    <mergeCell ref="AW71:AZ71"/>
    <mergeCell ref="AU72:AV72"/>
    <mergeCell ref="AW72:AZ72"/>
    <mergeCell ref="AU73:AV73"/>
    <mergeCell ref="AW73:AX73"/>
    <mergeCell ref="AY73:AZ73"/>
    <mergeCell ref="AU74:AV74"/>
    <mergeCell ref="AW74:AX74"/>
    <mergeCell ref="AY74:AZ74"/>
    <mergeCell ref="AU67:AV67"/>
    <mergeCell ref="AW67:AX67"/>
    <mergeCell ref="AY67:AZ67"/>
    <mergeCell ref="AU68:AV68"/>
    <mergeCell ref="AW68:AZ68"/>
    <mergeCell ref="AU69:AV69"/>
    <mergeCell ref="AW69:AZ69"/>
    <mergeCell ref="AU70:AV70"/>
    <mergeCell ref="AW70:AZ70"/>
    <mergeCell ref="AU62:AV62"/>
    <mergeCell ref="AW62:AZ62"/>
    <mergeCell ref="AU63:AV63"/>
    <mergeCell ref="AW63:AZ63"/>
    <mergeCell ref="AU64:AV64"/>
    <mergeCell ref="AW64:AZ64"/>
    <mergeCell ref="AU65:AV65"/>
    <mergeCell ref="AW65:AZ65"/>
    <mergeCell ref="AU66:AV66"/>
    <mergeCell ref="AW66:AX66"/>
    <mergeCell ref="AY66:AZ66"/>
    <mergeCell ref="AU56:AV56"/>
    <mergeCell ref="AW56:AX56"/>
    <mergeCell ref="AY56:AZ56"/>
    <mergeCell ref="AU57:AV57"/>
    <mergeCell ref="AW57:AX57"/>
    <mergeCell ref="AY58:AZ58"/>
    <mergeCell ref="AU59:AV59"/>
    <mergeCell ref="AW59:AX59"/>
    <mergeCell ref="AU60:AV60"/>
    <mergeCell ref="AW60:AX60"/>
    <mergeCell ref="AY60:AZ60"/>
    <mergeCell ref="AU53:AV53"/>
    <mergeCell ref="AW53:AX53"/>
    <mergeCell ref="AY53:AZ53"/>
    <mergeCell ref="AU54:AV54"/>
    <mergeCell ref="AW54:AX54"/>
    <mergeCell ref="AY54:AZ54"/>
    <mergeCell ref="AU55:AV55"/>
    <mergeCell ref="AW55:AX55"/>
    <mergeCell ref="AY55:AZ55"/>
    <mergeCell ref="AU49:AV49"/>
    <mergeCell ref="AW49:AZ49"/>
    <mergeCell ref="AU50:AV50"/>
    <mergeCell ref="AW50:AX50"/>
    <mergeCell ref="AY50:AZ50"/>
    <mergeCell ref="AU51:AV51"/>
    <mergeCell ref="AW51:AX51"/>
    <mergeCell ref="AY51:AZ51"/>
    <mergeCell ref="AU52:AV52"/>
    <mergeCell ref="AW52:AX52"/>
    <mergeCell ref="AY52:AZ52"/>
    <mergeCell ref="AG7:AH7"/>
    <mergeCell ref="AG8:AH8"/>
    <mergeCell ref="AG15:AH15"/>
    <mergeCell ref="AG16:AH16"/>
    <mergeCell ref="AG17:AH17"/>
    <mergeCell ref="AG9:AH9"/>
    <mergeCell ref="AI53:AJ53"/>
    <mergeCell ref="AK53:AL53"/>
    <mergeCell ref="AM53:AN53"/>
    <mergeCell ref="AK49:AN49"/>
    <mergeCell ref="AK50:AL50"/>
    <mergeCell ref="AM50:AN50"/>
    <mergeCell ref="AK51:AL51"/>
    <mergeCell ref="AM51:AN51"/>
    <mergeCell ref="AK52:AL52"/>
    <mergeCell ref="AM52:AN52"/>
    <mergeCell ref="AI49:AJ49"/>
    <mergeCell ref="AI50:AJ50"/>
    <mergeCell ref="AI51:AJ51"/>
    <mergeCell ref="AI52:AJ52"/>
    <mergeCell ref="AK54:AL54"/>
    <mergeCell ref="AM54:AN54"/>
    <mergeCell ref="AK60:AL60"/>
    <mergeCell ref="AM58:AN58"/>
    <mergeCell ref="AI54:AJ54"/>
    <mergeCell ref="W55:X55"/>
    <mergeCell ref="W56:X56"/>
    <mergeCell ref="M75:P75"/>
    <mergeCell ref="S75:V75"/>
    <mergeCell ref="AK75:AN75"/>
    <mergeCell ref="AK55:AL55"/>
    <mergeCell ref="AM55:AN55"/>
    <mergeCell ref="AI65:AJ65"/>
    <mergeCell ref="AK72:AN72"/>
    <mergeCell ref="AK69:AN69"/>
    <mergeCell ref="AK70:AN70"/>
    <mergeCell ref="AK56:AL56"/>
    <mergeCell ref="Q55:R55"/>
    <mergeCell ref="AK62:AN62"/>
    <mergeCell ref="AE55:AF55"/>
    <mergeCell ref="AA55:AB55"/>
    <mergeCell ref="AC55:AD55"/>
    <mergeCell ref="AG55:AH55"/>
    <mergeCell ref="AI55:AJ55"/>
    <mergeCell ref="P80:Q80"/>
    <mergeCell ref="J80:N80"/>
    <mergeCell ref="AG56:AH56"/>
    <mergeCell ref="AE56:AF56"/>
    <mergeCell ref="S74:T74"/>
    <mergeCell ref="Q74:R74"/>
    <mergeCell ref="AA74:AB74"/>
    <mergeCell ref="Q73:R73"/>
    <mergeCell ref="S73:T73"/>
    <mergeCell ref="U73:V73"/>
    <mergeCell ref="W73:X73"/>
    <mergeCell ref="AC74:AD74"/>
    <mergeCell ref="AE74:AF74"/>
    <mergeCell ref="AE76:AH76"/>
    <mergeCell ref="Y68:AB68"/>
    <mergeCell ref="Y56:Z56"/>
    <mergeCell ref="AA56:AB56"/>
    <mergeCell ref="AC56:AD56"/>
    <mergeCell ref="Y63:AB63"/>
    <mergeCell ref="AC65:AD65"/>
    <mergeCell ref="S70:V70"/>
    <mergeCell ref="AE68:AH68"/>
    <mergeCell ref="W63:X63"/>
    <mergeCell ref="AE70:AH70"/>
    <mergeCell ref="AI76:AJ76"/>
    <mergeCell ref="AE75:AH75"/>
    <mergeCell ref="Q75:R75"/>
    <mergeCell ref="W75:X75"/>
    <mergeCell ref="AC75:AD75"/>
    <mergeCell ref="Y75:AB75"/>
    <mergeCell ref="Q71:R71"/>
    <mergeCell ref="AM74:AN74"/>
    <mergeCell ref="AI72:AJ72"/>
    <mergeCell ref="AE72:AH72"/>
    <mergeCell ref="AK76:AN76"/>
    <mergeCell ref="S71:V71"/>
    <mergeCell ref="AC71:AD71"/>
    <mergeCell ref="AI71:AJ71"/>
    <mergeCell ref="AE71:AH71"/>
    <mergeCell ref="W71:X71"/>
    <mergeCell ref="AG73:AH73"/>
    <mergeCell ref="Q76:R76"/>
    <mergeCell ref="AC76:AD76"/>
    <mergeCell ref="AM56:AN56"/>
    <mergeCell ref="Y55:Z55"/>
    <mergeCell ref="AI60:AJ60"/>
    <mergeCell ref="AK64:AN64"/>
    <mergeCell ref="AI56:AJ56"/>
    <mergeCell ref="AG58:AH58"/>
    <mergeCell ref="AI59:AJ59"/>
    <mergeCell ref="AK59:AL59"/>
    <mergeCell ref="AM60:AN60"/>
    <mergeCell ref="AK63:AN63"/>
    <mergeCell ref="AI57:AJ57"/>
    <mergeCell ref="AK57:AL57"/>
    <mergeCell ref="AE62:AH62"/>
    <mergeCell ref="AI64:AJ64"/>
    <mergeCell ref="AI63:AJ63"/>
    <mergeCell ref="AE64:AH64"/>
    <mergeCell ref="AI62:AJ62"/>
    <mergeCell ref="AC62:AD62"/>
    <mergeCell ref="AC60:AD60"/>
    <mergeCell ref="AE60:AF60"/>
    <mergeCell ref="AG60:AH60"/>
    <mergeCell ref="Y64:AB64"/>
    <mergeCell ref="AE57:AF57"/>
    <mergeCell ref="AC63:AD63"/>
    <mergeCell ref="AI69:AJ69"/>
    <mergeCell ref="AI73:AJ73"/>
    <mergeCell ref="AE52:AF52"/>
    <mergeCell ref="AG52:AH52"/>
    <mergeCell ref="Y51:Z51"/>
    <mergeCell ref="Y54:Z54"/>
    <mergeCell ref="AA58:AB58"/>
    <mergeCell ref="Y57:Z57"/>
    <mergeCell ref="Y62:AB62"/>
    <mergeCell ref="Y69:AB69"/>
    <mergeCell ref="AA60:AB60"/>
    <mergeCell ref="AA73:AB73"/>
    <mergeCell ref="AC72:AD72"/>
    <mergeCell ref="AE69:AH69"/>
    <mergeCell ref="AC69:AD69"/>
    <mergeCell ref="AE73:AF73"/>
    <mergeCell ref="Y65:AB65"/>
    <mergeCell ref="AC70:AD70"/>
    <mergeCell ref="Y73:Z73"/>
    <mergeCell ref="AC59:AD59"/>
    <mergeCell ref="AE59:AF59"/>
    <mergeCell ref="AC57:AD57"/>
    <mergeCell ref="AE65:AH65"/>
    <mergeCell ref="AE63:AH63"/>
    <mergeCell ref="I69:J69"/>
    <mergeCell ref="K63:L63"/>
    <mergeCell ref="K65:L65"/>
    <mergeCell ref="M57:N57"/>
    <mergeCell ref="O58:P58"/>
    <mergeCell ref="K60:L60"/>
    <mergeCell ref="M60:N60"/>
    <mergeCell ref="M62:P62"/>
    <mergeCell ref="M63:P63"/>
    <mergeCell ref="K62:L62"/>
    <mergeCell ref="K57:L57"/>
    <mergeCell ref="K59:L59"/>
    <mergeCell ref="I60:J60"/>
    <mergeCell ref="I57:J57"/>
    <mergeCell ref="K64:L64"/>
    <mergeCell ref="M65:P65"/>
    <mergeCell ref="I59:J59"/>
    <mergeCell ref="I58:J58"/>
    <mergeCell ref="AC64:AD64"/>
    <mergeCell ref="CQ503:CS503"/>
    <mergeCell ref="K68:L68"/>
    <mergeCell ref="Q68:R68"/>
    <mergeCell ref="W68:X68"/>
    <mergeCell ref="AC68:AD68"/>
    <mergeCell ref="AI68:AJ68"/>
    <mergeCell ref="K69:L69"/>
    <mergeCell ref="Q69:R69"/>
    <mergeCell ref="W69:X69"/>
    <mergeCell ref="M68:P68"/>
    <mergeCell ref="S68:V68"/>
    <mergeCell ref="K72:L72"/>
    <mergeCell ref="Q72:R72"/>
    <mergeCell ref="K70:L70"/>
    <mergeCell ref="W72:X72"/>
    <mergeCell ref="AK73:AL73"/>
    <mergeCell ref="M70:P70"/>
    <mergeCell ref="Y70:AB70"/>
    <mergeCell ref="Y71:AB71"/>
    <mergeCell ref="AK71:AN71"/>
    <mergeCell ref="W76:X76"/>
    <mergeCell ref="S76:V76"/>
    <mergeCell ref="Y76:AB76"/>
    <mergeCell ref="D59:D60"/>
    <mergeCell ref="AB19:AC19"/>
    <mergeCell ref="Y19:AA19"/>
    <mergeCell ref="AC53:AD53"/>
    <mergeCell ref="A51:B51"/>
    <mergeCell ref="C51:D51"/>
    <mergeCell ref="A52:B52"/>
    <mergeCell ref="C52:D52"/>
    <mergeCell ref="Y20:AA20"/>
    <mergeCell ref="AB20:AC20"/>
    <mergeCell ref="A21:D21"/>
    <mergeCell ref="AA51:AB51"/>
    <mergeCell ref="W52:X52"/>
    <mergeCell ref="Y52:Z52"/>
    <mergeCell ref="AA52:AB52"/>
    <mergeCell ref="W53:X53"/>
    <mergeCell ref="Y53:Z53"/>
    <mergeCell ref="AA53:AB53"/>
    <mergeCell ref="A53:B53"/>
    <mergeCell ref="A22:D22"/>
    <mergeCell ref="U23:Z23"/>
    <mergeCell ref="O52:P52"/>
    <mergeCell ref="A98:C98"/>
    <mergeCell ref="A99:C99"/>
    <mergeCell ref="D99:F99"/>
    <mergeCell ref="D100:F100"/>
    <mergeCell ref="D92:F92"/>
    <mergeCell ref="D93:F93"/>
    <mergeCell ref="A91:C91"/>
    <mergeCell ref="D91:F91"/>
    <mergeCell ref="A90:F90"/>
    <mergeCell ref="A93:C93"/>
    <mergeCell ref="A95:C95"/>
    <mergeCell ref="A96:C96"/>
    <mergeCell ref="A97:C97"/>
    <mergeCell ref="D95:F95"/>
    <mergeCell ref="D94:F94"/>
    <mergeCell ref="A94:C94"/>
    <mergeCell ref="A92:C92"/>
    <mergeCell ref="D98:F98"/>
    <mergeCell ref="D96:F96"/>
    <mergeCell ref="AB3:AC3"/>
    <mergeCell ref="AB4:AC4"/>
    <mergeCell ref="AB7:AC7"/>
    <mergeCell ref="AB8:AC8"/>
    <mergeCell ref="Y7:AA7"/>
    <mergeCell ref="AB11:AC11"/>
    <mergeCell ref="AB12:AC12"/>
    <mergeCell ref="Y16:AA16"/>
    <mergeCell ref="AB16:AC16"/>
    <mergeCell ref="Y4:AA4"/>
    <mergeCell ref="Y3:AA3"/>
    <mergeCell ref="Y8:AA8"/>
    <mergeCell ref="Y11:AA11"/>
    <mergeCell ref="Y15:AA15"/>
    <mergeCell ref="Y12:AA12"/>
    <mergeCell ref="U4:X4"/>
    <mergeCell ref="U19:X19"/>
    <mergeCell ref="A24:D24"/>
    <mergeCell ref="A23:D23"/>
    <mergeCell ref="A19:D19"/>
    <mergeCell ref="A20:D20"/>
    <mergeCell ref="A17:D18"/>
    <mergeCell ref="J23:T24"/>
    <mergeCell ref="J17:T18"/>
    <mergeCell ref="E13:I14"/>
    <mergeCell ref="E15:I16"/>
    <mergeCell ref="E17:I18"/>
    <mergeCell ref="W57:X57"/>
    <mergeCell ref="Q56:R56"/>
    <mergeCell ref="S56:T56"/>
    <mergeCell ref="U3:X3"/>
    <mergeCell ref="U7:X7"/>
    <mergeCell ref="U11:X11"/>
    <mergeCell ref="U12:X12"/>
    <mergeCell ref="U8:X8"/>
    <mergeCell ref="U15:X15"/>
    <mergeCell ref="Q50:R50"/>
    <mergeCell ref="S50:T50"/>
    <mergeCell ref="U50:V50"/>
    <mergeCell ref="A41:Q41"/>
    <mergeCell ref="A43:Q43"/>
    <mergeCell ref="U13:X13"/>
    <mergeCell ref="E6:N9"/>
    <mergeCell ref="U16:X16"/>
    <mergeCell ref="A13:D13"/>
    <mergeCell ref="M53:N53"/>
    <mergeCell ref="A14:D14"/>
    <mergeCell ref="A15:D16"/>
    <mergeCell ref="A40:Q40"/>
    <mergeCell ref="A45:F45"/>
    <mergeCell ref="O54:P54"/>
    <mergeCell ref="Q54:R54"/>
    <mergeCell ref="Q49:R49"/>
    <mergeCell ref="U55:V55"/>
    <mergeCell ref="M49:P49"/>
    <mergeCell ref="M50:N50"/>
    <mergeCell ref="W51:X51"/>
    <mergeCell ref="O50:P50"/>
    <mergeCell ref="W50:X50"/>
    <mergeCell ref="Q51:R51"/>
    <mergeCell ref="O51:P51"/>
    <mergeCell ref="M52:N52"/>
    <mergeCell ref="M51:N51"/>
    <mergeCell ref="Q52:R52"/>
    <mergeCell ref="S52:T52"/>
    <mergeCell ref="U52:V52"/>
    <mergeCell ref="S55:T55"/>
    <mergeCell ref="S54:T54"/>
    <mergeCell ref="Y50:Z50"/>
    <mergeCell ref="AE53:AF53"/>
    <mergeCell ref="AG53:AH53"/>
    <mergeCell ref="AC54:AD54"/>
    <mergeCell ref="AE54:AF54"/>
    <mergeCell ref="AG54:AH54"/>
    <mergeCell ref="AM67:AN67"/>
    <mergeCell ref="K66:L66"/>
    <mergeCell ref="M66:N66"/>
    <mergeCell ref="O66:P66"/>
    <mergeCell ref="AM66:AN66"/>
    <mergeCell ref="Y66:Z66"/>
    <mergeCell ref="AA66:AB66"/>
    <mergeCell ref="AC66:AD66"/>
    <mergeCell ref="AE66:AF66"/>
    <mergeCell ref="AG66:AH66"/>
    <mergeCell ref="AI66:AJ66"/>
    <mergeCell ref="AK66:AL66"/>
    <mergeCell ref="AG67:AH67"/>
    <mergeCell ref="AI67:AJ67"/>
    <mergeCell ref="AA67:AB67"/>
    <mergeCell ref="AC67:AD67"/>
    <mergeCell ref="AE67:AF67"/>
    <mergeCell ref="Y67:Z67"/>
    <mergeCell ref="AK65:AN65"/>
    <mergeCell ref="AK68:AN68"/>
    <mergeCell ref="AI70:AJ70"/>
    <mergeCell ref="B86:C86"/>
    <mergeCell ref="B87:C87"/>
    <mergeCell ref="B88:C88"/>
    <mergeCell ref="B85:C85"/>
    <mergeCell ref="A84:C84"/>
    <mergeCell ref="Q66:R66"/>
    <mergeCell ref="S66:T66"/>
    <mergeCell ref="U66:V66"/>
    <mergeCell ref="W66:X66"/>
    <mergeCell ref="K67:L67"/>
    <mergeCell ref="M67:N67"/>
    <mergeCell ref="O67:P67"/>
    <mergeCell ref="Q67:R67"/>
    <mergeCell ref="S67:T67"/>
    <mergeCell ref="U67:V67"/>
    <mergeCell ref="W67:X67"/>
    <mergeCell ref="Q70:R70"/>
    <mergeCell ref="W70:X70"/>
    <mergeCell ref="W74:X74"/>
    <mergeCell ref="M69:P69"/>
    <mergeCell ref="AK67:AL67"/>
    <mergeCell ref="M72:P72"/>
    <mergeCell ref="S72:V72"/>
    <mergeCell ref="Y72:AB72"/>
    <mergeCell ref="Q60:R60"/>
    <mergeCell ref="S60:T60"/>
    <mergeCell ref="W60:X60"/>
    <mergeCell ref="Y60:Z60"/>
    <mergeCell ref="U60:V60"/>
    <mergeCell ref="W59:X59"/>
    <mergeCell ref="Y59:Z59"/>
    <mergeCell ref="O60:P60"/>
    <mergeCell ref="Q59:R59"/>
    <mergeCell ref="S59:T59"/>
    <mergeCell ref="W62:X62"/>
    <mergeCell ref="M64:P64"/>
    <mergeCell ref="S64:V64"/>
    <mergeCell ref="S65:V65"/>
    <mergeCell ref="Q63:R63"/>
    <mergeCell ref="Q65:R65"/>
    <mergeCell ref="Q62:R62"/>
    <mergeCell ref="M59:N59"/>
    <mergeCell ref="S62:V62"/>
    <mergeCell ref="S63:V63"/>
    <mergeCell ref="W64:X64"/>
    <mergeCell ref="U58:V58"/>
    <mergeCell ref="U56:V56"/>
    <mergeCell ref="C108:E108"/>
    <mergeCell ref="B103:B104"/>
    <mergeCell ref="B105:B106"/>
    <mergeCell ref="B107:B108"/>
    <mergeCell ref="K77:P77"/>
    <mergeCell ref="Q77:V77"/>
    <mergeCell ref="W77:AB77"/>
    <mergeCell ref="C103:E103"/>
    <mergeCell ref="C104:E104"/>
    <mergeCell ref="C105:E105"/>
    <mergeCell ref="C106:E106"/>
    <mergeCell ref="M98:O98"/>
    <mergeCell ref="P98:Q98"/>
    <mergeCell ref="C107:E107"/>
    <mergeCell ref="D97:F97"/>
    <mergeCell ref="D86:E86"/>
    <mergeCell ref="A80:D80"/>
    <mergeCell ref="D84:E84"/>
    <mergeCell ref="D81:E81"/>
    <mergeCell ref="C102:E102"/>
    <mergeCell ref="K78:P78"/>
    <mergeCell ref="Q78:V78"/>
    <mergeCell ref="W78:AB78"/>
    <mergeCell ref="AI78:AN78"/>
    <mergeCell ref="D77:I78"/>
    <mergeCell ref="J77:J78"/>
    <mergeCell ref="AI77:AN77"/>
    <mergeCell ref="M73:N73"/>
    <mergeCell ref="O73:P73"/>
    <mergeCell ref="O74:P74"/>
    <mergeCell ref="K75:L75"/>
    <mergeCell ref="I74:J74"/>
    <mergeCell ref="I73:J73"/>
    <mergeCell ref="K76:L76"/>
    <mergeCell ref="AC77:AH77"/>
    <mergeCell ref="AC78:AH78"/>
    <mergeCell ref="AM73:AN73"/>
    <mergeCell ref="AK74:AL74"/>
    <mergeCell ref="AI75:AJ75"/>
    <mergeCell ref="AI74:AJ74"/>
    <mergeCell ref="M76:P76"/>
    <mergeCell ref="M74:N74"/>
    <mergeCell ref="U74:V74"/>
    <mergeCell ref="Y74:Z74"/>
    <mergeCell ref="AG74:AH74"/>
    <mergeCell ref="AC73:AD73"/>
    <mergeCell ref="M71:P71"/>
    <mergeCell ref="S69:V69"/>
    <mergeCell ref="K74:L74"/>
    <mergeCell ref="K73:L73"/>
    <mergeCell ref="V24:Z24"/>
    <mergeCell ref="V25:Z25"/>
    <mergeCell ref="AB24:AC24"/>
    <mergeCell ref="AB25:AC25"/>
    <mergeCell ref="K50:L50"/>
    <mergeCell ref="K49:L49"/>
    <mergeCell ref="K51:L51"/>
    <mergeCell ref="K52:L52"/>
    <mergeCell ref="AC49:AD49"/>
    <mergeCell ref="AC50:AD50"/>
    <mergeCell ref="AC51:AD51"/>
    <mergeCell ref="AA50:AB50"/>
    <mergeCell ref="W49:X49"/>
    <mergeCell ref="Y49:AB49"/>
    <mergeCell ref="K71:L71"/>
    <mergeCell ref="K53:L53"/>
    <mergeCell ref="K54:L54"/>
    <mergeCell ref="W65:X65"/>
    <mergeCell ref="Q64:R64"/>
    <mergeCell ref="A42:Q42"/>
    <mergeCell ref="A59:C59"/>
    <mergeCell ref="A60:C60"/>
    <mergeCell ref="K56:L56"/>
    <mergeCell ref="M56:N56"/>
    <mergeCell ref="O56:P56"/>
    <mergeCell ref="A46:C46"/>
    <mergeCell ref="A25:D25"/>
    <mergeCell ref="A26:D26"/>
    <mergeCell ref="D46:F46"/>
    <mergeCell ref="D55:D56"/>
    <mergeCell ref="A55:C55"/>
    <mergeCell ref="A54:B54"/>
    <mergeCell ref="A56:C56"/>
    <mergeCell ref="A57:C57"/>
    <mergeCell ref="D57:D58"/>
    <mergeCell ref="A58:C58"/>
    <mergeCell ref="K55:L55"/>
    <mergeCell ref="O53:P53"/>
    <mergeCell ref="A47:C47"/>
    <mergeCell ref="D47:F47"/>
    <mergeCell ref="M55:N55"/>
    <mergeCell ref="O55:P55"/>
    <mergeCell ref="M54:N54"/>
    <mergeCell ref="A39:L39"/>
    <mergeCell ref="AE7:AF7"/>
    <mergeCell ref="AE8:AF8"/>
    <mergeCell ref="AE15:AF15"/>
    <mergeCell ref="AE16:AF16"/>
    <mergeCell ref="AE17:AF17"/>
    <mergeCell ref="AE9:AF9"/>
    <mergeCell ref="W54:X54"/>
    <mergeCell ref="U54:V54"/>
    <mergeCell ref="Q57:R57"/>
    <mergeCell ref="Q53:R53"/>
    <mergeCell ref="S53:T53"/>
    <mergeCell ref="U53:V53"/>
    <mergeCell ref="AE49:AH49"/>
    <mergeCell ref="AE50:AF50"/>
    <mergeCell ref="AG50:AH50"/>
    <mergeCell ref="AE51:AF51"/>
    <mergeCell ref="S49:V49"/>
    <mergeCell ref="AG51:AH51"/>
    <mergeCell ref="AC52:AD52"/>
    <mergeCell ref="AA54:AB54"/>
    <mergeCell ref="S57:T57"/>
    <mergeCell ref="S51:T51"/>
    <mergeCell ref="U51:V51"/>
    <mergeCell ref="AB15:AC15"/>
    <mergeCell ref="AO49:AP49"/>
    <mergeCell ref="AQ49:AT49"/>
    <mergeCell ref="AO50:AP50"/>
    <mergeCell ref="AQ50:AR50"/>
    <mergeCell ref="AS50:AT50"/>
    <mergeCell ref="AO51:AP51"/>
    <mergeCell ref="AQ51:AR51"/>
    <mergeCell ref="AS51:AT51"/>
    <mergeCell ref="AO52:AP52"/>
    <mergeCell ref="AQ52:AR52"/>
    <mergeCell ref="AS52:AT52"/>
    <mergeCell ref="AO53:AP53"/>
    <mergeCell ref="AQ53:AR53"/>
    <mergeCell ref="AS53:AT53"/>
    <mergeCell ref="AO54:AP54"/>
    <mergeCell ref="AQ54:AR54"/>
    <mergeCell ref="AS54:AT54"/>
    <mergeCell ref="AO55:AP55"/>
    <mergeCell ref="AQ55:AR55"/>
    <mergeCell ref="AS55:AT55"/>
    <mergeCell ref="AO65:AP65"/>
    <mergeCell ref="AQ65:AT65"/>
    <mergeCell ref="AO66:AP66"/>
    <mergeCell ref="AQ66:AR66"/>
    <mergeCell ref="AS66:AT66"/>
    <mergeCell ref="AO56:AP56"/>
    <mergeCell ref="AQ56:AR56"/>
    <mergeCell ref="AS56:AT56"/>
    <mergeCell ref="AO57:AP57"/>
    <mergeCell ref="AQ57:AR57"/>
    <mergeCell ref="AS58:AT58"/>
    <mergeCell ref="AO59:AP59"/>
    <mergeCell ref="AQ59:AR59"/>
    <mergeCell ref="AO60:AP60"/>
    <mergeCell ref="AQ60:AR60"/>
    <mergeCell ref="AS60:AT60"/>
    <mergeCell ref="AO78:AT78"/>
    <mergeCell ref="AO71:AP71"/>
    <mergeCell ref="AQ71:AT71"/>
    <mergeCell ref="AO72:AP72"/>
    <mergeCell ref="AQ72:AT72"/>
    <mergeCell ref="AO73:AP73"/>
    <mergeCell ref="AQ73:AR73"/>
    <mergeCell ref="AS73:AT73"/>
    <mergeCell ref="AO74:AP74"/>
    <mergeCell ref="AQ74:AR74"/>
    <mergeCell ref="AS74:AT74"/>
    <mergeCell ref="E19:I20"/>
    <mergeCell ref="E21:I22"/>
    <mergeCell ref="E23:I24"/>
    <mergeCell ref="E25:I26"/>
    <mergeCell ref="AO75:AP75"/>
    <mergeCell ref="AQ75:AT75"/>
    <mergeCell ref="AO76:AP76"/>
    <mergeCell ref="AQ76:AT76"/>
    <mergeCell ref="AO77:AT77"/>
    <mergeCell ref="AO67:AP67"/>
    <mergeCell ref="AQ67:AR67"/>
    <mergeCell ref="AS67:AT67"/>
    <mergeCell ref="AO68:AP68"/>
    <mergeCell ref="AQ68:AT68"/>
    <mergeCell ref="AO69:AP69"/>
    <mergeCell ref="AQ69:AT69"/>
    <mergeCell ref="AO70:AP70"/>
    <mergeCell ref="AQ70:AT70"/>
    <mergeCell ref="AO62:AP62"/>
    <mergeCell ref="AQ62:AT62"/>
    <mergeCell ref="AO63:AP63"/>
    <mergeCell ref="AQ63:AT63"/>
    <mergeCell ref="AO64:AP64"/>
    <mergeCell ref="AQ64:AT64"/>
  </mergeCells>
  <phoneticPr fontId="6" type="noConversion"/>
  <conditionalFormatting sqref="AF29">
    <cfRule type="expression" dxfId="15" priority="33">
      <formula>$AC$101=1</formula>
    </cfRule>
  </conditionalFormatting>
  <conditionalFormatting sqref="AF30">
    <cfRule type="expression" dxfId="14" priority="34">
      <formula>$AD$101=1</formula>
    </cfRule>
  </conditionalFormatting>
  <conditionalFormatting sqref="AF28">
    <cfRule type="expression" dxfId="13" priority="35">
      <formula>$AG$101=1</formula>
    </cfRule>
  </conditionalFormatting>
  <conditionalFormatting sqref="AG25:AG34">
    <cfRule type="expression" dxfId="12" priority="36">
      <formula>$AB$101=1</formula>
    </cfRule>
  </conditionalFormatting>
  <conditionalFormatting sqref="AG35">
    <cfRule type="expression" dxfId="11" priority="37">
      <formula>$AI$101=1</formula>
    </cfRule>
  </conditionalFormatting>
  <conditionalFormatting sqref="AF34">
    <cfRule type="expression" dxfId="10" priority="38">
      <formula>$AE$101=1</formula>
    </cfRule>
  </conditionalFormatting>
  <conditionalFormatting sqref="AF35">
    <cfRule type="expression" dxfId="9" priority="39">
      <formula>$AF$101=1</formula>
    </cfRule>
  </conditionalFormatting>
  <conditionalFormatting sqref="AF36">
    <cfRule type="expression" dxfId="8" priority="40">
      <formula>$AH$101=1</formula>
    </cfRule>
  </conditionalFormatting>
  <conditionalFormatting sqref="AE24:AF24">
    <cfRule type="expression" dxfId="7" priority="41">
      <formula>$AB$101=1</formula>
    </cfRule>
  </conditionalFormatting>
  <conditionalFormatting sqref="D29:I29">
    <cfRule type="expression" dxfId="6" priority="42">
      <formula>IF($E$80=0,$E$83=0,0)</formula>
    </cfRule>
  </conditionalFormatting>
  <conditionalFormatting sqref="I30">
    <cfRule type="expression" dxfId="5" priority="43">
      <formula>IF($E$80=0,$E$83=0,0)</formula>
    </cfRule>
  </conditionalFormatting>
  <conditionalFormatting sqref="D30 G27:G29">
    <cfRule type="expression" dxfId="4" priority="44">
      <formula>IF($E$80=0,$E$83=0,0)</formula>
    </cfRule>
  </conditionalFormatting>
  <conditionalFormatting sqref="V17:AC17 V21:AC21">
    <cfRule type="expression" dxfId="3" priority="46">
      <formula>$E$83=0</formula>
    </cfRule>
  </conditionalFormatting>
  <conditionalFormatting sqref="AR20:AR21">
    <cfRule type="expression" dxfId="2" priority="4" stopIfTrue="1">
      <formula>$AM$17=1</formula>
    </cfRule>
  </conditionalFormatting>
  <conditionalFormatting sqref="AE8:AG8">
    <cfRule type="expression" dxfId="1" priority="47">
      <formula>IF($E$80=0,IF($E$21=$A$95,$G$47=1))</formula>
    </cfRule>
  </conditionalFormatting>
  <conditionalFormatting sqref="AE16:AG16">
    <cfRule type="expression" dxfId="0" priority="48">
      <formula>IF($E80=0,IF($E$83=0,IF($E$21=$A$95,$G$47=1)))</formula>
    </cfRule>
  </conditionalFormatting>
  <dataValidations count="6">
    <dataValidation type="list" allowBlank="1" showInputMessage="1" showErrorMessage="1" sqref="E21" xr:uid="{EFCDABC0-8131-40D0-BD0D-815AE558EAAE}">
      <formula1>$A$94:$A$95</formula1>
    </dataValidation>
    <dataValidation type="list" allowBlank="1" showInputMessage="1" showErrorMessage="1" sqref="E19" xr:uid="{4919D88D-296B-4C54-95EA-FB58CEE1CF52}">
      <formula1>$A$91:$A$93</formula1>
    </dataValidation>
    <dataValidation type="list" allowBlank="1" showInputMessage="1" showErrorMessage="1" sqref="E13" xr:uid="{68CB3293-2193-4F78-9AAB-B2BD2BEBE913}">
      <formula1>$A$98:$A$99</formula1>
    </dataValidation>
    <dataValidation type="list" allowBlank="1" showInputMessage="1" showErrorMessage="1" sqref="E61:F61 D46:D47 E46:F46" xr:uid="{5FFBCD75-4B5B-4E0A-9F6A-B44E0D7FF097}">
      <formula1>$A$96:$A$97</formula1>
    </dataValidation>
    <dataValidation type="list" allowBlank="1" showErrorMessage="1" sqref="E25" xr:uid="{81428C6A-3FD8-4463-84AA-E3EF31F7BF12}">
      <formula1>IF( $E$19 = $A$91, A101:A116,  IF( $E$19 = $A$92, A101:A116,  IF( $E$19 = $A$93, A102:A116 )))</formula1>
    </dataValidation>
    <dataValidation type="list" allowBlank="1" showInputMessage="1" showErrorMessage="1" sqref="E15:I16" xr:uid="{7AD2A783-7894-4D44-8205-7300744E3EE4}">
      <formula1>$D$91:$D$97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blackAndWhite="1" r:id="rId1"/>
  <colBreaks count="1" manualBreakCount="1">
    <brk id="3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E63A5-B92B-414F-AF75-A6D61E3BCF97}">
  <sheetPr codeName="Blad2"/>
  <dimension ref="A1"/>
  <sheetViews>
    <sheetView workbookViewId="0"/>
  </sheetViews>
  <sheetFormatPr defaultRowHeight="15" x14ac:dyDescent="0.25"/>
  <cols>
    <col min="1" max="1" width="10" bestFit="1" customWidth="1"/>
  </cols>
  <sheetData/>
  <sheetProtection formatCells="0" formatColumns="0" formatRows="0" insertColumns="0" insertRows="0" insertHyperlinks="0" deleteColumns="0" deleteRows="0" sort="0" autoFilter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040CA-C53A-47DB-BCDF-FB5C639D2C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17</vt:i4>
      </vt:variant>
    </vt:vector>
  </HeadingPairs>
  <TitlesOfParts>
    <vt:vector size="19" baseType="lpstr">
      <vt:lpstr>Forest FES-rekenschema</vt:lpstr>
      <vt:lpstr>Blad2</vt:lpstr>
      <vt:lpstr>_r1</vt:lpstr>
      <vt:lpstr>_r10</vt:lpstr>
      <vt:lpstr>_r11</vt:lpstr>
      <vt:lpstr>_r12</vt:lpstr>
      <vt:lpstr>_r12.1</vt:lpstr>
      <vt:lpstr>_r13</vt:lpstr>
      <vt:lpstr>_r14</vt:lpstr>
      <vt:lpstr>_r2</vt:lpstr>
      <vt:lpstr>_r3</vt:lpstr>
      <vt:lpstr>_r4</vt:lpstr>
      <vt:lpstr>_r5</vt:lpstr>
      <vt:lpstr>_r6</vt:lpstr>
      <vt:lpstr>_r7</vt:lpstr>
      <vt:lpstr>_r8</vt:lpstr>
      <vt:lpstr>_r9</vt:lpstr>
      <vt:lpstr>'Forest FES-rekenschema'!Afdrukbereik</vt:lpstr>
      <vt:lpstr>rail_naam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Mulderij – Forestgroup</dc:creator>
  <cp:lastModifiedBy>Wouter Mulderij – Forestgroup</cp:lastModifiedBy>
  <cp:lastPrinted>2022-05-05T06:21:20Z</cp:lastPrinted>
  <dcterms:created xsi:type="dcterms:W3CDTF">2020-11-12T07:07:18Z</dcterms:created>
  <dcterms:modified xsi:type="dcterms:W3CDTF">2023-05-08T12:40:53Z</dcterms:modified>
</cp:coreProperties>
</file>